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hare\Accounting\GASB 67 &amp; 68\Report for June 30, 2020\"/>
    </mc:Choice>
  </mc:AlternateContent>
  <xr:revisionPtr revIDLastSave="0" documentId="13_ncr:1_{8B7A322B-09C6-40D8-9A3A-0B95FD3D2479}" xr6:coauthVersionLast="47" xr6:coauthVersionMax="47" xr10:uidLastSave="{00000000-0000-0000-0000-000000000000}"/>
  <workbookProtection workbookAlgorithmName="SHA-512" workbookHashValue="L9CQY+Z99nF8q4h3818+9yqM5zKQmc5Q/rayiDsExWXl4zrt+sGBmcaBUvWwwuUqz4iczgXC1FuYymj02wdHfw==" workbookSaltValue="psZTRs5G98++qyda1LGgzQ==" workbookSpinCount="100000" lockStructure="1"/>
  <bookViews>
    <workbookView xWindow="-28920" yWindow="1950" windowWidth="29040" windowHeight="15840" firstSheet="4" activeTab="4" xr2:uid="{00000000-000D-0000-FFFF-FFFF00000000}"/>
  </bookViews>
  <sheets>
    <sheet name="2017 Prop share of contribs" sheetId="11" state="hidden" r:id="rId1"/>
    <sheet name="Employer Allocations" sheetId="5" state="hidden" r:id="rId2"/>
    <sheet name="Allocation schedule Univ" sheetId="3" state="hidden" r:id="rId3"/>
    <sheet name="Allocation schedule Non" sheetId="6" state="hidden" r:id="rId4"/>
    <sheet name="Sched A" sheetId="19" r:id="rId5"/>
    <sheet name="Sched B" sheetId="20" r:id="rId6"/>
    <sheet name="Sched C" sheetId="18" r:id="rId7"/>
  </sheets>
  <externalReferences>
    <externalReference r:id="rId8"/>
    <externalReference r:id="rId9"/>
    <externalReference r:id="rId10"/>
  </externalReferences>
  <definedNames>
    <definedName name="_xlnm._FilterDatabase" localSheetId="3" hidden="1">'Allocation schedule Non'!$E$3:$E$222</definedName>
    <definedName name="_xlnm._FilterDatabase" localSheetId="5" hidden="1">'Sched B'!$X$1:$X$559</definedName>
    <definedName name="_xlnm.Print_Area" localSheetId="0">'2017 Prop share of contribs'!$C$2:$V$5</definedName>
    <definedName name="_xlnm.Print_Area" localSheetId="4">'Sched A'!$A$262:$H$277</definedName>
    <definedName name="_xlnm.Print_Area" localSheetId="5">'Sched B'!$B$225:$W$249</definedName>
    <definedName name="_xlnm.Print_Area" localSheetId="6">'Sched C'!$A$4:$J$51</definedName>
    <definedName name="_xlnm.Print_Titles" localSheetId="2">'Allocation schedule Univ'!$A:$B</definedName>
    <definedName name="_xlnm.Print_Titles" localSheetId="4">'Sched A'!$1:$6</definedName>
    <definedName name="_xlnm.Print_Titles" localSheetId="5">'Sched B'!$B:$C,'Sched B'!$4:$15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20" l="1"/>
  <c r="H49" i="20"/>
  <c r="M248" i="20"/>
  <c r="L248" i="20"/>
  <c r="M50" i="20"/>
  <c r="L50" i="20"/>
  <c r="B41" i="19"/>
  <c r="D55" i="20"/>
  <c r="D273" i="19" l="1"/>
  <c r="H48" i="18" l="1"/>
  <c r="G48" i="18"/>
  <c r="F48" i="18"/>
  <c r="E48" i="18"/>
  <c r="D48" i="18"/>
  <c r="C48" i="18"/>
  <c r="C52" i="18" l="1"/>
  <c r="D52" i="18"/>
  <c r="E52" i="18"/>
  <c r="F52" i="18"/>
  <c r="G52" i="18"/>
  <c r="H52" i="18"/>
  <c r="I52" i="18"/>
  <c r="J52" i="18"/>
  <c r="J23" i="20" l="1"/>
  <c r="K23" i="20"/>
  <c r="V23" i="20"/>
  <c r="W23" i="20"/>
  <c r="T245" i="20" l="1"/>
  <c r="U23" i="20" l="1"/>
  <c r="T23" i="20"/>
  <c r="S23" i="20"/>
  <c r="J33" i="20"/>
  <c r="J49" i="20"/>
  <c r="C64" i="20" l="1"/>
  <c r="AL211" i="6" l="1"/>
  <c r="AM211" i="6"/>
  <c r="G8" i="6" l="1"/>
  <c r="H8" i="6" s="1"/>
  <c r="I8" i="6" s="1"/>
  <c r="E8" i="6"/>
  <c r="F8" i="6" s="1"/>
  <c r="DF2" i="3" l="1"/>
  <c r="DH2" i="3" s="1"/>
  <c r="DJ2" i="3" s="1"/>
  <c r="DL2" i="3" s="1"/>
  <c r="DE2" i="3"/>
  <c r="DG2" i="3" s="1"/>
  <c r="DI2" i="3" s="1"/>
  <c r="DK2" i="3" s="1"/>
  <c r="DM2" i="3" s="1"/>
  <c r="CS2" i="3"/>
  <c r="CU2" i="3" s="1"/>
  <c r="CW2" i="3" s="1"/>
  <c r="CY2" i="3" s="1"/>
  <c r="CR2" i="3"/>
  <c r="CT2" i="3" s="1"/>
  <c r="CV2" i="3" s="1"/>
  <c r="CX2" i="3" s="1"/>
  <c r="CZ2" i="3" s="1"/>
  <c r="BM17" i="3"/>
  <c r="CG7" i="11" l="1"/>
  <c r="CH7" i="11"/>
  <c r="CG8" i="11"/>
  <c r="CH8" i="11"/>
  <c r="CH9" i="11"/>
  <c r="CG10" i="11"/>
  <c r="CH10" i="11"/>
  <c r="CG11" i="11"/>
  <c r="CH11" i="11"/>
  <c r="CG12" i="11"/>
  <c r="CH12" i="11"/>
  <c r="CG13" i="11"/>
  <c r="CH13" i="11"/>
  <c r="CG14" i="11"/>
  <c r="CH14" i="11"/>
  <c r="CG15" i="11"/>
  <c r="CH15" i="11"/>
  <c r="CG16" i="11"/>
  <c r="CH16" i="11"/>
  <c r="CG17" i="11"/>
  <c r="CH17" i="11"/>
  <c r="CG18" i="11"/>
  <c r="CH18" i="11"/>
  <c r="CG19" i="11"/>
  <c r="CH19" i="11"/>
  <c r="CG20" i="11"/>
  <c r="CH20" i="11"/>
  <c r="CG21" i="11"/>
  <c r="CH21" i="11"/>
  <c r="CG22" i="11"/>
  <c r="CH22" i="11"/>
  <c r="CG23" i="11"/>
  <c r="CH23" i="11"/>
  <c r="CG24" i="11"/>
  <c r="CH24" i="11"/>
  <c r="CG25" i="11"/>
  <c r="CH25" i="11"/>
  <c r="CG26" i="11"/>
  <c r="CH26" i="11"/>
  <c r="CG27" i="11"/>
  <c r="CH27" i="11"/>
  <c r="CG28" i="11"/>
  <c r="CH28" i="11"/>
  <c r="CG29" i="11"/>
  <c r="CH29" i="11"/>
  <c r="CG30" i="11"/>
  <c r="CH30" i="11"/>
  <c r="CG31" i="11"/>
  <c r="CH31" i="11"/>
  <c r="CG32" i="11"/>
  <c r="CH32" i="11"/>
  <c r="CG33" i="11"/>
  <c r="CH33" i="11"/>
  <c r="CG34" i="11"/>
  <c r="CH34" i="11"/>
  <c r="CG35" i="11"/>
  <c r="CH35" i="11"/>
  <c r="CG36" i="11"/>
  <c r="CH36" i="11"/>
  <c r="CG37" i="11"/>
  <c r="CH37" i="11"/>
  <c r="CG38" i="11"/>
  <c r="CH38" i="11"/>
  <c r="CG39" i="11"/>
  <c r="CH39" i="11"/>
  <c r="CG40" i="11"/>
  <c r="CH40" i="11"/>
  <c r="CG41" i="11"/>
  <c r="CH41" i="11"/>
  <c r="CG42" i="11"/>
  <c r="CH42" i="11"/>
  <c r="CG43" i="11"/>
  <c r="CH43" i="11"/>
  <c r="CG44" i="11"/>
  <c r="CH44" i="11"/>
  <c r="CG45" i="11"/>
  <c r="CH45" i="11"/>
  <c r="CG46" i="11"/>
  <c r="CH46" i="11"/>
  <c r="CG47" i="11"/>
  <c r="CH47" i="11"/>
  <c r="CG48" i="11"/>
  <c r="CH48" i="11"/>
  <c r="CG49" i="11"/>
  <c r="CH49" i="11"/>
  <c r="CG50" i="11"/>
  <c r="CH50" i="11"/>
  <c r="CG51" i="11"/>
  <c r="CH51" i="11"/>
  <c r="CG52" i="11"/>
  <c r="CH52" i="11"/>
  <c r="CG53" i="11"/>
  <c r="CH53" i="11"/>
  <c r="CG54" i="11"/>
  <c r="CH54" i="11"/>
  <c r="CG55" i="11"/>
  <c r="CH55" i="11"/>
  <c r="CG56" i="11"/>
  <c r="CH56" i="11"/>
  <c r="CG57" i="11"/>
  <c r="CH57" i="11"/>
  <c r="CG58" i="11"/>
  <c r="CH58" i="11"/>
  <c r="CG59" i="11"/>
  <c r="CH59" i="11"/>
  <c r="CG60" i="11"/>
  <c r="CH60" i="11"/>
  <c r="CG61" i="11"/>
  <c r="CH61" i="11"/>
  <c r="CG62" i="11"/>
  <c r="CH62" i="11"/>
  <c r="CG63" i="11"/>
  <c r="CH63" i="11"/>
  <c r="CG64" i="11"/>
  <c r="CH64" i="11"/>
  <c r="CG65" i="11"/>
  <c r="CH65" i="11"/>
  <c r="CG66" i="11"/>
  <c r="CH66" i="11"/>
  <c r="CG67" i="11"/>
  <c r="CH67" i="11"/>
  <c r="CG68" i="11"/>
  <c r="CH68" i="11"/>
  <c r="CG69" i="11"/>
  <c r="CH69" i="11"/>
  <c r="CG70" i="11"/>
  <c r="CH70" i="11"/>
  <c r="CG71" i="11"/>
  <c r="CH71" i="11"/>
  <c r="CG72" i="11"/>
  <c r="CH72" i="11"/>
  <c r="CG73" i="11"/>
  <c r="CH73" i="11"/>
  <c r="CG74" i="11"/>
  <c r="CH74" i="11"/>
  <c r="CG75" i="11"/>
  <c r="CH75" i="11"/>
  <c r="CG76" i="11"/>
  <c r="CH76" i="11"/>
  <c r="CG77" i="11"/>
  <c r="CH77" i="11"/>
  <c r="CG78" i="11"/>
  <c r="CH78" i="11"/>
  <c r="CG79" i="11"/>
  <c r="CH79" i="11"/>
  <c r="CG80" i="11"/>
  <c r="CH80" i="11"/>
  <c r="CG81" i="11"/>
  <c r="CH81" i="11"/>
  <c r="CG82" i="11"/>
  <c r="CH82" i="11"/>
  <c r="CG83" i="11"/>
  <c r="CH83" i="11"/>
  <c r="CG84" i="11"/>
  <c r="CH84" i="11"/>
  <c r="CG85" i="11"/>
  <c r="CH85" i="11"/>
  <c r="CG86" i="11"/>
  <c r="CH86" i="11"/>
  <c r="CG87" i="11"/>
  <c r="CH87" i="11"/>
  <c r="CG88" i="11"/>
  <c r="CH88" i="11"/>
  <c r="CG89" i="11"/>
  <c r="CH89" i="11"/>
  <c r="CG90" i="11"/>
  <c r="CH90" i="11"/>
  <c r="CG91" i="11"/>
  <c r="CH91" i="11"/>
  <c r="CG92" i="11"/>
  <c r="CH92" i="11"/>
  <c r="CG93" i="11"/>
  <c r="CH93" i="11"/>
  <c r="CG94" i="11"/>
  <c r="CH94" i="11"/>
  <c r="CG95" i="11"/>
  <c r="CH95" i="11"/>
  <c r="CG96" i="11"/>
  <c r="CH96" i="11"/>
  <c r="CG97" i="11"/>
  <c r="CH97" i="11"/>
  <c r="CG98" i="11"/>
  <c r="CH98" i="11"/>
  <c r="CG99" i="11"/>
  <c r="CH99" i="11"/>
  <c r="CG100" i="11"/>
  <c r="CH100" i="11"/>
  <c r="CG101" i="11"/>
  <c r="CH101" i="11"/>
  <c r="CG102" i="11"/>
  <c r="CH102" i="11"/>
  <c r="CG103" i="11"/>
  <c r="CH103" i="11"/>
  <c r="CG104" i="11"/>
  <c r="CH104" i="11"/>
  <c r="CG105" i="11"/>
  <c r="CH105" i="11"/>
  <c r="CG106" i="11"/>
  <c r="CH106" i="11"/>
  <c r="CG107" i="11"/>
  <c r="CH107" i="11"/>
  <c r="CG108" i="11"/>
  <c r="CH108" i="11"/>
  <c r="CG109" i="11"/>
  <c r="CH109" i="11"/>
  <c r="CG110" i="11"/>
  <c r="CH110" i="11"/>
  <c r="CG111" i="11"/>
  <c r="CH111" i="11"/>
  <c r="CG112" i="11"/>
  <c r="CH112" i="11"/>
  <c r="CG113" i="11"/>
  <c r="CH113" i="11"/>
  <c r="CG114" i="11"/>
  <c r="CH114" i="11"/>
  <c r="CG115" i="11"/>
  <c r="CH115" i="11"/>
  <c r="CG116" i="11"/>
  <c r="CH116" i="11"/>
  <c r="CG117" i="11"/>
  <c r="CH117" i="11"/>
  <c r="CG118" i="11"/>
  <c r="CH118" i="11"/>
  <c r="CG119" i="11"/>
  <c r="CH119" i="11"/>
  <c r="CG120" i="11"/>
  <c r="CH120" i="11"/>
  <c r="CG121" i="11"/>
  <c r="CH121" i="11"/>
  <c r="CG122" i="11"/>
  <c r="CH122" i="11"/>
  <c r="CG123" i="11"/>
  <c r="CH123" i="11"/>
  <c r="CG124" i="11"/>
  <c r="CH124" i="11"/>
  <c r="CG125" i="11"/>
  <c r="CH125" i="11"/>
  <c r="CG126" i="11"/>
  <c r="CH126" i="11"/>
  <c r="CG127" i="11"/>
  <c r="CH127" i="11"/>
  <c r="CG128" i="11"/>
  <c r="CH128" i="11"/>
  <c r="CG129" i="11"/>
  <c r="CH129" i="11"/>
  <c r="CG130" i="11"/>
  <c r="CH130" i="11"/>
  <c r="CG131" i="11"/>
  <c r="CH131" i="11"/>
  <c r="CG132" i="11"/>
  <c r="CH132" i="11"/>
  <c r="CG133" i="11"/>
  <c r="CH133" i="11"/>
  <c r="CG134" i="11"/>
  <c r="CH134" i="11"/>
  <c r="CG135" i="11"/>
  <c r="CH135" i="11"/>
  <c r="CG136" i="11"/>
  <c r="CH136" i="11"/>
  <c r="CG137" i="11"/>
  <c r="CH137" i="11"/>
  <c r="CG138" i="11"/>
  <c r="CH138" i="11"/>
  <c r="CG139" i="11"/>
  <c r="CH139" i="11"/>
  <c r="CG140" i="11"/>
  <c r="CH140" i="11"/>
  <c r="CG141" i="11"/>
  <c r="CH141" i="11"/>
  <c r="CG142" i="11"/>
  <c r="CH142" i="11"/>
  <c r="CG143" i="11"/>
  <c r="CH143" i="11"/>
  <c r="CG144" i="11"/>
  <c r="CH144" i="11"/>
  <c r="CG145" i="11"/>
  <c r="CH145" i="11"/>
  <c r="CG146" i="11"/>
  <c r="CH146" i="11"/>
  <c r="CG147" i="11"/>
  <c r="CH147" i="11"/>
  <c r="CG148" i="11"/>
  <c r="CH148" i="11"/>
  <c r="CG149" i="11"/>
  <c r="CH149" i="11"/>
  <c r="CG150" i="11"/>
  <c r="CH150" i="11"/>
  <c r="CG151" i="11"/>
  <c r="CH151" i="11"/>
  <c r="CG152" i="11"/>
  <c r="CH152" i="11"/>
  <c r="CG153" i="11"/>
  <c r="CH153" i="11"/>
  <c r="CG154" i="11"/>
  <c r="CH154" i="11"/>
  <c r="CG155" i="11"/>
  <c r="CH155" i="11"/>
  <c r="CG156" i="11"/>
  <c r="CH156" i="11"/>
  <c r="CG157" i="11"/>
  <c r="CH157" i="11"/>
  <c r="CG158" i="11"/>
  <c r="CH158" i="11"/>
  <c r="CG159" i="11"/>
  <c r="CH159" i="11"/>
  <c r="CG160" i="11"/>
  <c r="CH160" i="11"/>
  <c r="CG161" i="11"/>
  <c r="CH161" i="11"/>
  <c r="CG162" i="11"/>
  <c r="CH162" i="11"/>
  <c r="CG163" i="11"/>
  <c r="CH163" i="11"/>
  <c r="CG164" i="11"/>
  <c r="CH164" i="11"/>
  <c r="CG165" i="11"/>
  <c r="CH165" i="11"/>
  <c r="CG166" i="11"/>
  <c r="CH166" i="11"/>
  <c r="CG167" i="11"/>
  <c r="CH167" i="11"/>
  <c r="CG168" i="11"/>
  <c r="CH168" i="11"/>
  <c r="CG169" i="11"/>
  <c r="CH169" i="11"/>
  <c r="CG170" i="11"/>
  <c r="CH170" i="11"/>
  <c r="CG171" i="11"/>
  <c r="CH171" i="11"/>
  <c r="CG172" i="11"/>
  <c r="CH172" i="11"/>
  <c r="CG173" i="11"/>
  <c r="CH173" i="11"/>
  <c r="CG174" i="11"/>
  <c r="CH174" i="11"/>
  <c r="CG175" i="11"/>
  <c r="CH175" i="11"/>
  <c r="CG176" i="11"/>
  <c r="CH176" i="11"/>
  <c r="CG177" i="11"/>
  <c r="CH177" i="11"/>
  <c r="CG178" i="11"/>
  <c r="CH178" i="11"/>
  <c r="CG179" i="11"/>
  <c r="CH179" i="11"/>
  <c r="CG180" i="11"/>
  <c r="CH180" i="11"/>
  <c r="CG181" i="11"/>
  <c r="CH181" i="11"/>
  <c r="CG182" i="11"/>
  <c r="CH182" i="11"/>
  <c r="CG183" i="11"/>
  <c r="CH183" i="11"/>
  <c r="CG184" i="11"/>
  <c r="CH184" i="11"/>
  <c r="CG185" i="11"/>
  <c r="CH185" i="11"/>
  <c r="CG186" i="11"/>
  <c r="CH186" i="11"/>
  <c r="CG187" i="11"/>
  <c r="CH187" i="11"/>
  <c r="CG188" i="11"/>
  <c r="CH188" i="11"/>
  <c r="CG189" i="11"/>
  <c r="CH189" i="11"/>
  <c r="CG190" i="11"/>
  <c r="CH190" i="11"/>
  <c r="CG191" i="11"/>
  <c r="CH191" i="11"/>
  <c r="CG192" i="11"/>
  <c r="CH192" i="11"/>
  <c r="CG193" i="11"/>
  <c r="CH193" i="11"/>
  <c r="CG194" i="11"/>
  <c r="CH194" i="11"/>
  <c r="CG195" i="11"/>
  <c r="CH195" i="11"/>
  <c r="CG196" i="11"/>
  <c r="CH196" i="11"/>
  <c r="CG197" i="11"/>
  <c r="CH197" i="11"/>
  <c r="CG198" i="11"/>
  <c r="CH198" i="11"/>
  <c r="CG199" i="11"/>
  <c r="CH199" i="11"/>
  <c r="CG200" i="11"/>
  <c r="CH200" i="11"/>
  <c r="CG201" i="11"/>
  <c r="CH201" i="11"/>
  <c r="CG202" i="11"/>
  <c r="CH202" i="11"/>
  <c r="CG203" i="11"/>
  <c r="CH203" i="11"/>
  <c r="CG204" i="11"/>
  <c r="CH204" i="11"/>
  <c r="CG205" i="11"/>
  <c r="CH205" i="11"/>
  <c r="CG206" i="11"/>
  <c r="CH206" i="11"/>
  <c r="CG207" i="11"/>
  <c r="CH207" i="11"/>
  <c r="CG208" i="11"/>
  <c r="CH208" i="11"/>
  <c r="CG209" i="11"/>
  <c r="CH209" i="11"/>
  <c r="CG210" i="11"/>
  <c r="CH210" i="11"/>
  <c r="CG211" i="11"/>
  <c r="CH211" i="11"/>
  <c r="CG212" i="11"/>
  <c r="CH212" i="11"/>
  <c r="CG213" i="11"/>
  <c r="CH213" i="11"/>
  <c r="CH6" i="11"/>
  <c r="CG6" i="11"/>
  <c r="CG5" i="11" l="1"/>
  <c r="CH5" i="11"/>
  <c r="BX7" i="11" l="1"/>
  <c r="BX8" i="11"/>
  <c r="BX9" i="11"/>
  <c r="BX10" i="11"/>
  <c r="BX11" i="11"/>
  <c r="BX12" i="11"/>
  <c r="BX13" i="11"/>
  <c r="BX14" i="11"/>
  <c r="BX15" i="11"/>
  <c r="BX16" i="11"/>
  <c r="BX17" i="11"/>
  <c r="BX18" i="11"/>
  <c r="BX19" i="11"/>
  <c r="BX20" i="11"/>
  <c r="BX21" i="11"/>
  <c r="BX22" i="11"/>
  <c r="BX23" i="11"/>
  <c r="BX24" i="11"/>
  <c r="BX25" i="11"/>
  <c r="BX26" i="11"/>
  <c r="BX27" i="11"/>
  <c r="BX28" i="11"/>
  <c r="BX29" i="11"/>
  <c r="BX30" i="11"/>
  <c r="BX31" i="11"/>
  <c r="BX32" i="11"/>
  <c r="BX33" i="11"/>
  <c r="BX34" i="11"/>
  <c r="BX35" i="11"/>
  <c r="BX36" i="11"/>
  <c r="BX37" i="11"/>
  <c r="BX38" i="11"/>
  <c r="BX39" i="11"/>
  <c r="BX40" i="11"/>
  <c r="BX41" i="11"/>
  <c r="BX42" i="11"/>
  <c r="BX43" i="11"/>
  <c r="BX44" i="11"/>
  <c r="BX45" i="11"/>
  <c r="BX46" i="11"/>
  <c r="BX47" i="11"/>
  <c r="BX48" i="11"/>
  <c r="BX49" i="11"/>
  <c r="BX50" i="11"/>
  <c r="BX51" i="11"/>
  <c r="BX52" i="11"/>
  <c r="BX53" i="11"/>
  <c r="BX54" i="11"/>
  <c r="BX55" i="11"/>
  <c r="BX56" i="11"/>
  <c r="BX57" i="11"/>
  <c r="BX58" i="11"/>
  <c r="BX59" i="11"/>
  <c r="BX60" i="11"/>
  <c r="BX61" i="11"/>
  <c r="BX62" i="11"/>
  <c r="BX63" i="11"/>
  <c r="BX64" i="11"/>
  <c r="BX65" i="11"/>
  <c r="BX66" i="11"/>
  <c r="BX67" i="11"/>
  <c r="BX68" i="11"/>
  <c r="BX69" i="11"/>
  <c r="BX70" i="11"/>
  <c r="BX71" i="11"/>
  <c r="BX72" i="11"/>
  <c r="BX73" i="11"/>
  <c r="BX74" i="11"/>
  <c r="BX75" i="11"/>
  <c r="BX76" i="11"/>
  <c r="BX77" i="11"/>
  <c r="BX78" i="11"/>
  <c r="BX79" i="11"/>
  <c r="BX80" i="11"/>
  <c r="BX81" i="11"/>
  <c r="BX82" i="11"/>
  <c r="BX83" i="11"/>
  <c r="BX84" i="11"/>
  <c r="BX85" i="11"/>
  <c r="BX86" i="11"/>
  <c r="BX87" i="11"/>
  <c r="BX88" i="11"/>
  <c r="BX89" i="11"/>
  <c r="BX90" i="11"/>
  <c r="BX91" i="11"/>
  <c r="BX92" i="11"/>
  <c r="BX93" i="11"/>
  <c r="BX94" i="11"/>
  <c r="BX95" i="11"/>
  <c r="BX96" i="11"/>
  <c r="BX97" i="11"/>
  <c r="BX98" i="11"/>
  <c r="BX99" i="11"/>
  <c r="BX100" i="11"/>
  <c r="BX101" i="11"/>
  <c r="BX102" i="11"/>
  <c r="BX103" i="11"/>
  <c r="BX104" i="11"/>
  <c r="BX105" i="11"/>
  <c r="BX106" i="11"/>
  <c r="BX107" i="11"/>
  <c r="BX108" i="11"/>
  <c r="BX109" i="11"/>
  <c r="BX110" i="11"/>
  <c r="BX111" i="11"/>
  <c r="BX112" i="11"/>
  <c r="BX113" i="11"/>
  <c r="BX114" i="11"/>
  <c r="BX115" i="11"/>
  <c r="BX116" i="11"/>
  <c r="BX117" i="11"/>
  <c r="BX118" i="11"/>
  <c r="BX119" i="11"/>
  <c r="BX120" i="11"/>
  <c r="BX121" i="11"/>
  <c r="BX122" i="11"/>
  <c r="BX123" i="11"/>
  <c r="BX124" i="11"/>
  <c r="BX125" i="11"/>
  <c r="BX126" i="11"/>
  <c r="BX127" i="11"/>
  <c r="BX128" i="11"/>
  <c r="BX129" i="11"/>
  <c r="BX130" i="11"/>
  <c r="BX131" i="11"/>
  <c r="BX132" i="11"/>
  <c r="BX133" i="11"/>
  <c r="BX134" i="11"/>
  <c r="BX135" i="11"/>
  <c r="BX136" i="11"/>
  <c r="BX137" i="11"/>
  <c r="BX138" i="11"/>
  <c r="BX139" i="11"/>
  <c r="BX140" i="11"/>
  <c r="BX141" i="11"/>
  <c r="BX142" i="11"/>
  <c r="BX143" i="11"/>
  <c r="BX144" i="11"/>
  <c r="BX145" i="11"/>
  <c r="BX146" i="11"/>
  <c r="BX147" i="11"/>
  <c r="BX148" i="11"/>
  <c r="BX149" i="11"/>
  <c r="BX150" i="11"/>
  <c r="BX151" i="11"/>
  <c r="BX152" i="11"/>
  <c r="BX153" i="11"/>
  <c r="BX154" i="11"/>
  <c r="BX155" i="11"/>
  <c r="BX156" i="11"/>
  <c r="BX157" i="11"/>
  <c r="BX158" i="11"/>
  <c r="BX159" i="11"/>
  <c r="BX160" i="11"/>
  <c r="BX161" i="11"/>
  <c r="BX162" i="11"/>
  <c r="BX163" i="11"/>
  <c r="BX164" i="11"/>
  <c r="BX165" i="11"/>
  <c r="BX166" i="11"/>
  <c r="BX167" i="11"/>
  <c r="BX168" i="11"/>
  <c r="BX169" i="11"/>
  <c r="BX170" i="11"/>
  <c r="BX171" i="11"/>
  <c r="BX172" i="11"/>
  <c r="BX173" i="11"/>
  <c r="BX174" i="11"/>
  <c r="BX175" i="11"/>
  <c r="BX176" i="11"/>
  <c r="BX177" i="11"/>
  <c r="BX178" i="11"/>
  <c r="BX205" i="11"/>
  <c r="BX206" i="11"/>
  <c r="BX207" i="11"/>
  <c r="BX208" i="11"/>
  <c r="BX209" i="11"/>
  <c r="BX210" i="11"/>
  <c r="BX211" i="11"/>
  <c r="BX212" i="11"/>
  <c r="BX6" i="11"/>
  <c r="BS214" i="11"/>
  <c r="BQ214" i="11"/>
  <c r="BP214" i="11"/>
  <c r="BO214" i="11"/>
  <c r="BN214" i="11"/>
  <c r="BM214" i="11"/>
  <c r="BQ213" i="11"/>
  <c r="AO213" i="11"/>
  <c r="AN213" i="11"/>
  <c r="AM213" i="11"/>
  <c r="AL213" i="11"/>
  <c r="AK213" i="11"/>
  <c r="X213" i="11"/>
  <c r="W213" i="11"/>
  <c r="R213" i="11"/>
  <c r="O213" i="11"/>
  <c r="L213" i="11"/>
  <c r="I213" i="11"/>
  <c r="F213" i="11"/>
  <c r="BQ212" i="11"/>
  <c r="AS212" i="11"/>
  <c r="AR212" i="11"/>
  <c r="AQ212" i="11"/>
  <c r="AP212" i="11"/>
  <c r="AO212" i="11"/>
  <c r="AN212" i="11"/>
  <c r="AM212" i="11"/>
  <c r="AH212" i="11"/>
  <c r="AG212" i="11"/>
  <c r="R212" i="11"/>
  <c r="O212" i="11"/>
  <c r="L212" i="11"/>
  <c r="AF212" i="11" s="1"/>
  <c r="BV212" i="11" s="1"/>
  <c r="F212" i="11"/>
  <c r="BQ211" i="11"/>
  <c r="AS211" i="11"/>
  <c r="AR211" i="11"/>
  <c r="AQ211" i="11"/>
  <c r="AP211" i="11"/>
  <c r="AO211" i="11"/>
  <c r="AN211" i="11"/>
  <c r="AM211" i="11"/>
  <c r="AH211" i="11"/>
  <c r="AG211" i="11"/>
  <c r="R211" i="11"/>
  <c r="O211" i="11"/>
  <c r="L211" i="11"/>
  <c r="AF211" i="11" s="1"/>
  <c r="BV211" i="11" s="1"/>
  <c r="F211" i="11"/>
  <c r="BQ210" i="11"/>
  <c r="AS210" i="11"/>
  <c r="AR210" i="11"/>
  <c r="AQ210" i="11"/>
  <c r="AP210" i="11"/>
  <c r="AO210" i="11"/>
  <c r="AN210" i="11"/>
  <c r="AM210" i="11"/>
  <c r="AH210" i="11"/>
  <c r="AG210" i="11"/>
  <c r="R210" i="11"/>
  <c r="O210" i="11"/>
  <c r="L210" i="11"/>
  <c r="AF210" i="11" s="1"/>
  <c r="BV210" i="11" s="1"/>
  <c r="F210" i="11"/>
  <c r="BQ209" i="11"/>
  <c r="AS209" i="11"/>
  <c r="AR209" i="11"/>
  <c r="AQ209" i="11"/>
  <c r="AP209" i="11"/>
  <c r="AO209" i="11"/>
  <c r="AN209" i="11"/>
  <c r="AM209" i="11"/>
  <c r="AH209" i="11"/>
  <c r="AG209" i="11"/>
  <c r="R209" i="11"/>
  <c r="O209" i="11"/>
  <c r="L209" i="11"/>
  <c r="AF209" i="11" s="1"/>
  <c r="BV209" i="11" s="1"/>
  <c r="F209" i="11"/>
  <c r="BQ208" i="11"/>
  <c r="AS208" i="11"/>
  <c r="AR208" i="11"/>
  <c r="AQ208" i="11"/>
  <c r="AP208" i="11"/>
  <c r="AO208" i="11"/>
  <c r="AN208" i="11"/>
  <c r="AM208" i="11"/>
  <c r="AH208" i="11"/>
  <c r="AG208" i="11"/>
  <c r="AJ208" i="11" s="1"/>
  <c r="R208" i="11"/>
  <c r="O208" i="11"/>
  <c r="L208" i="11"/>
  <c r="AF208" i="11" s="1"/>
  <c r="BV208" i="11" s="1"/>
  <c r="F208" i="11"/>
  <c r="BQ207" i="11"/>
  <c r="AS207" i="11"/>
  <c r="AR207" i="11"/>
  <c r="AQ207" i="11"/>
  <c r="AP207" i="11"/>
  <c r="AO207" i="11"/>
  <c r="AN207" i="11"/>
  <c r="AM207" i="11"/>
  <c r="AH207" i="11"/>
  <c r="AG207" i="11"/>
  <c r="R207" i="11"/>
  <c r="O207" i="11"/>
  <c r="L207" i="11"/>
  <c r="AF207" i="11" s="1"/>
  <c r="BV207" i="11" s="1"/>
  <c r="F207" i="11"/>
  <c r="BQ206" i="11"/>
  <c r="AS206" i="11"/>
  <c r="AR206" i="11"/>
  <c r="AQ206" i="11"/>
  <c r="AP206" i="11"/>
  <c r="AO206" i="11"/>
  <c r="AN206" i="11"/>
  <c r="AM206" i="11"/>
  <c r="AH206" i="11"/>
  <c r="AG206" i="11"/>
  <c r="R206" i="11"/>
  <c r="O206" i="11"/>
  <c r="L206" i="11"/>
  <c r="AF206" i="11" s="1"/>
  <c r="BV206" i="11" s="1"/>
  <c r="F206" i="11"/>
  <c r="BQ205" i="11"/>
  <c r="AS205" i="11"/>
  <c r="AR205" i="11"/>
  <c r="AQ205" i="11"/>
  <c r="AP205" i="11"/>
  <c r="AO205" i="11"/>
  <c r="AN205" i="11"/>
  <c r="AM205" i="11"/>
  <c r="AH205" i="11"/>
  <c r="AG205" i="11"/>
  <c r="R205" i="11"/>
  <c r="O205" i="11"/>
  <c r="L205" i="11"/>
  <c r="AF205" i="11" s="1"/>
  <c r="BV205" i="11" s="1"/>
  <c r="F205" i="11"/>
  <c r="BQ204" i="11"/>
  <c r="AO204" i="11"/>
  <c r="AN204" i="11"/>
  <c r="AM204" i="11"/>
  <c r="X204" i="11"/>
  <c r="W204" i="11"/>
  <c r="R204" i="11"/>
  <c r="O204" i="11"/>
  <c r="L204" i="11"/>
  <c r="I204" i="11"/>
  <c r="F204" i="11"/>
  <c r="BQ203" i="11"/>
  <c r="AO203" i="11"/>
  <c r="AN203" i="11"/>
  <c r="AM203" i="11"/>
  <c r="X203" i="11"/>
  <c r="W203" i="11"/>
  <c r="R203" i="11"/>
  <c r="O203" i="11"/>
  <c r="L203" i="11"/>
  <c r="I203" i="11"/>
  <c r="F203" i="11"/>
  <c r="BQ202" i="11"/>
  <c r="AO202" i="11"/>
  <c r="AN202" i="11"/>
  <c r="AM202" i="11"/>
  <c r="X202" i="11"/>
  <c r="W202" i="11"/>
  <c r="R202" i="11"/>
  <c r="O202" i="11"/>
  <c r="L202" i="11"/>
  <c r="I202" i="11"/>
  <c r="F202" i="11"/>
  <c r="BQ201" i="11"/>
  <c r="AO201" i="11"/>
  <c r="AN201" i="11"/>
  <c r="AM201" i="11"/>
  <c r="X201" i="11"/>
  <c r="W201" i="11"/>
  <c r="R201" i="11"/>
  <c r="O201" i="11"/>
  <c r="L201" i="11"/>
  <c r="I201" i="11"/>
  <c r="F201" i="11"/>
  <c r="BQ200" i="11"/>
  <c r="AO200" i="11"/>
  <c r="AN200" i="11"/>
  <c r="AM200" i="11"/>
  <c r="X200" i="11"/>
  <c r="W200" i="11"/>
  <c r="R200" i="11"/>
  <c r="O200" i="11"/>
  <c r="L200" i="11"/>
  <c r="I200" i="11"/>
  <c r="F200" i="11"/>
  <c r="BQ199" i="11"/>
  <c r="AO199" i="11"/>
  <c r="AN199" i="11"/>
  <c r="AM199" i="11"/>
  <c r="X199" i="11"/>
  <c r="W199" i="11"/>
  <c r="R199" i="11"/>
  <c r="O199" i="11"/>
  <c r="L199" i="11"/>
  <c r="I199" i="11"/>
  <c r="F199" i="11"/>
  <c r="BQ198" i="11"/>
  <c r="AO198" i="11"/>
  <c r="AN198" i="11"/>
  <c r="AM198" i="11"/>
  <c r="X198" i="11"/>
  <c r="W198" i="11"/>
  <c r="R198" i="11"/>
  <c r="O198" i="11"/>
  <c r="L198" i="11"/>
  <c r="I198" i="11"/>
  <c r="F198" i="11"/>
  <c r="BQ197" i="11"/>
  <c r="AO197" i="11"/>
  <c r="AN197" i="11"/>
  <c r="AM197" i="11"/>
  <c r="X197" i="11"/>
  <c r="W197" i="11"/>
  <c r="AA197" i="11" s="1"/>
  <c r="R197" i="11"/>
  <c r="O197" i="11"/>
  <c r="L197" i="11"/>
  <c r="I197" i="11"/>
  <c r="F197" i="11"/>
  <c r="BQ196" i="11"/>
  <c r="AO196" i="11"/>
  <c r="AN196" i="11"/>
  <c r="AM196" i="11"/>
  <c r="X196" i="11"/>
  <c r="W196" i="11"/>
  <c r="R196" i="11"/>
  <c r="O196" i="11"/>
  <c r="L196" i="11"/>
  <c r="I196" i="11"/>
  <c r="F196" i="11"/>
  <c r="BQ195" i="11"/>
  <c r="AO195" i="11"/>
  <c r="AN195" i="11"/>
  <c r="AM195" i="11"/>
  <c r="X195" i="11"/>
  <c r="W195" i="11"/>
  <c r="R195" i="11"/>
  <c r="O195" i="11"/>
  <c r="L195" i="11"/>
  <c r="I195" i="11"/>
  <c r="F195" i="11"/>
  <c r="BQ194" i="11"/>
  <c r="AO194" i="11"/>
  <c r="AN194" i="11"/>
  <c r="AM194" i="11"/>
  <c r="X194" i="11"/>
  <c r="W194" i="11"/>
  <c r="R194" i="11"/>
  <c r="O194" i="11"/>
  <c r="L194" i="11"/>
  <c r="I194" i="11"/>
  <c r="F194" i="11"/>
  <c r="BQ193" i="11"/>
  <c r="AO193" i="11"/>
  <c r="AN193" i="11"/>
  <c r="AM193" i="11"/>
  <c r="X193" i="11"/>
  <c r="W193" i="11"/>
  <c r="R193" i="11"/>
  <c r="O193" i="11"/>
  <c r="L193" i="11"/>
  <c r="I193" i="11"/>
  <c r="F193" i="11"/>
  <c r="BQ192" i="11"/>
  <c r="AO192" i="11"/>
  <c r="AN192" i="11"/>
  <c r="AM192" i="11"/>
  <c r="X192" i="11"/>
  <c r="W192" i="11"/>
  <c r="R192" i="11"/>
  <c r="O192" i="11"/>
  <c r="L192" i="11"/>
  <c r="I192" i="11"/>
  <c r="F192" i="11"/>
  <c r="BQ191" i="11"/>
  <c r="AO191" i="11"/>
  <c r="AN191" i="11"/>
  <c r="AM191" i="11"/>
  <c r="X191" i="11"/>
  <c r="W191" i="11"/>
  <c r="R191" i="11"/>
  <c r="O191" i="11"/>
  <c r="L191" i="11"/>
  <c r="I191" i="11"/>
  <c r="F191" i="11"/>
  <c r="BQ190" i="11"/>
  <c r="AO190" i="11"/>
  <c r="AN190" i="11"/>
  <c r="AM190" i="11"/>
  <c r="X190" i="11"/>
  <c r="W190" i="11"/>
  <c r="R190" i="11"/>
  <c r="O190" i="11"/>
  <c r="L190" i="11"/>
  <c r="I190" i="11"/>
  <c r="F190" i="11"/>
  <c r="BQ189" i="11"/>
  <c r="AO189" i="11"/>
  <c r="AN189" i="11"/>
  <c r="AM189" i="11"/>
  <c r="X189" i="11"/>
  <c r="W189" i="11"/>
  <c r="AD189" i="11" s="1"/>
  <c r="BP189" i="11" s="1"/>
  <c r="R189" i="11"/>
  <c r="O189" i="11"/>
  <c r="L189" i="11"/>
  <c r="I189" i="11"/>
  <c r="F189" i="11"/>
  <c r="BQ188" i="11"/>
  <c r="AO188" i="11"/>
  <c r="AN188" i="11"/>
  <c r="AM188" i="11"/>
  <c r="X188" i="11"/>
  <c r="W188" i="11"/>
  <c r="R188" i="11"/>
  <c r="O188" i="11"/>
  <c r="L188" i="11"/>
  <c r="I188" i="11"/>
  <c r="F188" i="11"/>
  <c r="BQ187" i="11"/>
  <c r="AO187" i="11"/>
  <c r="AN187" i="11"/>
  <c r="AM187" i="11"/>
  <c r="X187" i="11"/>
  <c r="W187" i="11"/>
  <c r="R187" i="11"/>
  <c r="O187" i="11"/>
  <c r="L187" i="11"/>
  <c r="I187" i="11"/>
  <c r="F187" i="11"/>
  <c r="BQ186" i="11"/>
  <c r="AO186" i="11"/>
  <c r="AN186" i="11"/>
  <c r="AM186" i="11"/>
  <c r="X186" i="11"/>
  <c r="W186" i="11"/>
  <c r="R186" i="11"/>
  <c r="O186" i="11"/>
  <c r="L186" i="11"/>
  <c r="I186" i="11"/>
  <c r="F186" i="11"/>
  <c r="BQ185" i="11"/>
  <c r="AO185" i="11"/>
  <c r="AN185" i="11"/>
  <c r="AM185" i="11"/>
  <c r="X185" i="11"/>
  <c r="W185" i="11"/>
  <c r="R185" i="11"/>
  <c r="O185" i="11"/>
  <c r="L185" i="11"/>
  <c r="I185" i="11"/>
  <c r="F185" i="11"/>
  <c r="BQ184" i="11"/>
  <c r="AO184" i="11"/>
  <c r="AN184" i="11"/>
  <c r="AM184" i="11"/>
  <c r="X184" i="11"/>
  <c r="W184" i="11"/>
  <c r="R184" i="11"/>
  <c r="O184" i="11"/>
  <c r="L184" i="11"/>
  <c r="I184" i="11"/>
  <c r="F184" i="11"/>
  <c r="BQ183" i="11"/>
  <c r="AO183" i="11"/>
  <c r="AN183" i="11"/>
  <c r="AM183" i="11"/>
  <c r="X183" i="11"/>
  <c r="W183" i="11"/>
  <c r="R183" i="11"/>
  <c r="O183" i="11"/>
  <c r="L183" i="11"/>
  <c r="I183" i="11"/>
  <c r="F183" i="11"/>
  <c r="BQ182" i="11"/>
  <c r="AO182" i="11"/>
  <c r="AN182" i="11"/>
  <c r="AM182" i="11"/>
  <c r="X182" i="11"/>
  <c r="W182" i="11"/>
  <c r="R182" i="11"/>
  <c r="O182" i="11"/>
  <c r="L182" i="11"/>
  <c r="I182" i="11"/>
  <c r="F182" i="11"/>
  <c r="BQ181" i="11"/>
  <c r="AO181" i="11"/>
  <c r="AN181" i="11"/>
  <c r="AM181" i="11"/>
  <c r="X181" i="11"/>
  <c r="W181" i="11"/>
  <c r="R181" i="11"/>
  <c r="O181" i="11"/>
  <c r="L181" i="11"/>
  <c r="I181" i="11"/>
  <c r="F181" i="11"/>
  <c r="BQ180" i="11"/>
  <c r="AO180" i="11"/>
  <c r="AN180" i="11"/>
  <c r="AM180" i="11"/>
  <c r="X180" i="11"/>
  <c r="W180" i="11"/>
  <c r="R180" i="11"/>
  <c r="O180" i="11"/>
  <c r="L180" i="11"/>
  <c r="I180" i="11"/>
  <c r="F180" i="11"/>
  <c r="BQ179" i="11"/>
  <c r="AO179" i="11"/>
  <c r="AN179" i="11"/>
  <c r="AM179" i="11"/>
  <c r="X179" i="11"/>
  <c r="W179" i="11"/>
  <c r="Z179" i="11" s="1"/>
  <c r="R179" i="11"/>
  <c r="O179" i="11"/>
  <c r="L179" i="11"/>
  <c r="I179" i="11"/>
  <c r="F179" i="11"/>
  <c r="BQ178" i="11"/>
  <c r="AS178" i="11"/>
  <c r="AR178" i="11"/>
  <c r="AQ178" i="11"/>
  <c r="AP178" i="11"/>
  <c r="AO178" i="11"/>
  <c r="AN178" i="11"/>
  <c r="AM178" i="11"/>
  <c r="AH178" i="11"/>
  <c r="AG178" i="11"/>
  <c r="AK178" i="11" s="1"/>
  <c r="BP178" i="11" s="1"/>
  <c r="R178" i="11"/>
  <c r="O178" i="11"/>
  <c r="L178" i="11"/>
  <c r="AF178" i="11" s="1"/>
  <c r="BV178" i="11" s="1"/>
  <c r="F178" i="11"/>
  <c r="BQ177" i="11"/>
  <c r="AS177" i="11"/>
  <c r="AR177" i="11"/>
  <c r="AQ177" i="11"/>
  <c r="AP177" i="11"/>
  <c r="AO177" i="11"/>
  <c r="AN177" i="11"/>
  <c r="AM177" i="11"/>
  <c r="AH177" i="11"/>
  <c r="AG177" i="11"/>
  <c r="R177" i="11"/>
  <c r="O177" i="11"/>
  <c r="L177" i="11"/>
  <c r="AF177" i="11" s="1"/>
  <c r="BV177" i="11" s="1"/>
  <c r="F177" i="11"/>
  <c r="BQ176" i="11"/>
  <c r="AS176" i="11"/>
  <c r="AR176" i="11"/>
  <c r="AQ176" i="11"/>
  <c r="AP176" i="11"/>
  <c r="AO176" i="11"/>
  <c r="AN176" i="11"/>
  <c r="AM176" i="11"/>
  <c r="AH176" i="11"/>
  <c r="AG176" i="11"/>
  <c r="R176" i="11"/>
  <c r="O176" i="11"/>
  <c r="L176" i="11"/>
  <c r="AF176" i="11" s="1"/>
  <c r="BV176" i="11" s="1"/>
  <c r="F176" i="11"/>
  <c r="BQ175" i="11"/>
  <c r="AS175" i="11"/>
  <c r="AR175" i="11"/>
  <c r="AQ175" i="11"/>
  <c r="AP175" i="11"/>
  <c r="AO175" i="11"/>
  <c r="AN175" i="11"/>
  <c r="AM175" i="11"/>
  <c r="AH175" i="11"/>
  <c r="AG175" i="11"/>
  <c r="R175" i="11"/>
  <c r="O175" i="11"/>
  <c r="L175" i="11"/>
  <c r="AF175" i="11" s="1"/>
  <c r="BV175" i="11" s="1"/>
  <c r="F175" i="11"/>
  <c r="BQ174" i="11"/>
  <c r="AS174" i="11"/>
  <c r="AR174" i="11"/>
  <c r="AQ174" i="11"/>
  <c r="AP174" i="11"/>
  <c r="AO174" i="11"/>
  <c r="AN174" i="11"/>
  <c r="AM174" i="11"/>
  <c r="AH174" i="11"/>
  <c r="AG174" i="11"/>
  <c r="R174" i="11"/>
  <c r="O174" i="11"/>
  <c r="L174" i="11"/>
  <c r="AF174" i="11" s="1"/>
  <c r="BV174" i="11" s="1"/>
  <c r="F174" i="11"/>
  <c r="BQ173" i="11"/>
  <c r="AS173" i="11"/>
  <c r="AR173" i="11"/>
  <c r="AQ173" i="11"/>
  <c r="AP173" i="11"/>
  <c r="AO173" i="11"/>
  <c r="AN173" i="11"/>
  <c r="AM173" i="11"/>
  <c r="AH173" i="11"/>
  <c r="AG173" i="11"/>
  <c r="R173" i="11"/>
  <c r="O173" i="11"/>
  <c r="L173" i="11"/>
  <c r="AF173" i="11" s="1"/>
  <c r="BV173" i="11" s="1"/>
  <c r="F173" i="11"/>
  <c r="BQ172" i="11"/>
  <c r="AS172" i="11"/>
  <c r="AR172" i="11"/>
  <c r="AQ172" i="11"/>
  <c r="AP172" i="11"/>
  <c r="AO172" i="11"/>
  <c r="AN172" i="11"/>
  <c r="AM172" i="11"/>
  <c r="AH172" i="11"/>
  <c r="AG172" i="11"/>
  <c r="R172" i="11"/>
  <c r="O172" i="11"/>
  <c r="L172" i="11"/>
  <c r="AF172" i="11" s="1"/>
  <c r="BV172" i="11" s="1"/>
  <c r="F172" i="11"/>
  <c r="BQ171" i="11"/>
  <c r="AS171" i="11"/>
  <c r="AR171" i="11"/>
  <c r="AQ171" i="11"/>
  <c r="AP171" i="11"/>
  <c r="AO171" i="11"/>
  <c r="AN171" i="11"/>
  <c r="AM171" i="11"/>
  <c r="AH171" i="11"/>
  <c r="AG171" i="11"/>
  <c r="R171" i="11"/>
  <c r="O171" i="11"/>
  <c r="L171" i="11"/>
  <c r="AF171" i="11" s="1"/>
  <c r="BV171" i="11" s="1"/>
  <c r="F171" i="11"/>
  <c r="BQ170" i="11"/>
  <c r="AS170" i="11"/>
  <c r="AR170" i="11"/>
  <c r="AQ170" i="11"/>
  <c r="AP170" i="11"/>
  <c r="AO170" i="11"/>
  <c r="AN170" i="11"/>
  <c r="AM170" i="11"/>
  <c r="AH170" i="11"/>
  <c r="AG170" i="11"/>
  <c r="AL170" i="11" s="1"/>
  <c r="R170" i="11"/>
  <c r="O170" i="11"/>
  <c r="L170" i="11"/>
  <c r="AF170" i="11" s="1"/>
  <c r="BV170" i="11" s="1"/>
  <c r="F170" i="11"/>
  <c r="BQ169" i="11"/>
  <c r="AS169" i="11"/>
  <c r="AR169" i="11"/>
  <c r="AQ169" i="11"/>
  <c r="AP169" i="11"/>
  <c r="AO169" i="11"/>
  <c r="AN169" i="11"/>
  <c r="AM169" i="11"/>
  <c r="AH169" i="11"/>
  <c r="AG169" i="11"/>
  <c r="R169" i="11"/>
  <c r="O169" i="11"/>
  <c r="L169" i="11"/>
  <c r="AF169" i="11" s="1"/>
  <c r="BV169" i="11" s="1"/>
  <c r="F169" i="11"/>
  <c r="BQ168" i="11"/>
  <c r="AS168" i="11"/>
  <c r="AR168" i="11"/>
  <c r="AQ168" i="11"/>
  <c r="AP168" i="11"/>
  <c r="AO168" i="11"/>
  <c r="AN168" i="11"/>
  <c r="AM168" i="11"/>
  <c r="AH168" i="11"/>
  <c r="AG168" i="11"/>
  <c r="R168" i="11"/>
  <c r="O168" i="11"/>
  <c r="L168" i="11"/>
  <c r="AF168" i="11" s="1"/>
  <c r="BV168" i="11" s="1"/>
  <c r="F168" i="11"/>
  <c r="BQ167" i="11"/>
  <c r="AS167" i="11"/>
  <c r="AR167" i="11"/>
  <c r="AQ167" i="11"/>
  <c r="AP167" i="11"/>
  <c r="AO167" i="11"/>
  <c r="AN167" i="11"/>
  <c r="AM167" i="11"/>
  <c r="AH167" i="11"/>
  <c r="AG167" i="11"/>
  <c r="R167" i="11"/>
  <c r="O167" i="11"/>
  <c r="L167" i="11"/>
  <c r="AF167" i="11" s="1"/>
  <c r="BV167" i="11" s="1"/>
  <c r="F167" i="11"/>
  <c r="BQ166" i="11"/>
  <c r="AS166" i="11"/>
  <c r="AR166" i="11"/>
  <c r="AQ166" i="11"/>
  <c r="AP166" i="11"/>
  <c r="AO166" i="11"/>
  <c r="AN166" i="11"/>
  <c r="AM166" i="11"/>
  <c r="AH166" i="11"/>
  <c r="AG166" i="11"/>
  <c r="R166" i="11"/>
  <c r="O166" i="11"/>
  <c r="L166" i="11"/>
  <c r="AF166" i="11" s="1"/>
  <c r="BV166" i="11" s="1"/>
  <c r="F166" i="11"/>
  <c r="BQ165" i="11"/>
  <c r="AS165" i="11"/>
  <c r="AR165" i="11"/>
  <c r="AQ165" i="11"/>
  <c r="AP165" i="11"/>
  <c r="AO165" i="11"/>
  <c r="AN165" i="11"/>
  <c r="AM165" i="11"/>
  <c r="AH165" i="11"/>
  <c r="AG165" i="11"/>
  <c r="R165" i="11"/>
  <c r="O165" i="11"/>
  <c r="L165" i="11"/>
  <c r="AF165" i="11" s="1"/>
  <c r="BV165" i="11" s="1"/>
  <c r="F165" i="11"/>
  <c r="BQ164" i="11"/>
  <c r="AS164" i="11"/>
  <c r="AR164" i="11"/>
  <c r="AQ164" i="11"/>
  <c r="AP164" i="11"/>
  <c r="AO164" i="11"/>
  <c r="AN164" i="11"/>
  <c r="AM164" i="11"/>
  <c r="AH164" i="11"/>
  <c r="AG164" i="11"/>
  <c r="R164" i="11"/>
  <c r="O164" i="11"/>
  <c r="L164" i="11"/>
  <c r="AF164" i="11" s="1"/>
  <c r="BV164" i="11" s="1"/>
  <c r="F164" i="11"/>
  <c r="BQ163" i="11"/>
  <c r="AS163" i="11"/>
  <c r="AR163" i="11"/>
  <c r="AQ163" i="11"/>
  <c r="AP163" i="11"/>
  <c r="AO163" i="11"/>
  <c r="AN163" i="11"/>
  <c r="AM163" i="11"/>
  <c r="AH163" i="11"/>
  <c r="AG163" i="11"/>
  <c r="R163" i="11"/>
  <c r="O163" i="11"/>
  <c r="L163" i="11"/>
  <c r="AF163" i="11" s="1"/>
  <c r="BV163" i="11" s="1"/>
  <c r="F163" i="11"/>
  <c r="BQ162" i="11"/>
  <c r="AS162" i="11"/>
  <c r="AR162" i="11"/>
  <c r="AQ162" i="11"/>
  <c r="AP162" i="11"/>
  <c r="AO162" i="11"/>
  <c r="AN162" i="11"/>
  <c r="AM162" i="11"/>
  <c r="AH162" i="11"/>
  <c r="AG162" i="11"/>
  <c r="R162" i="11"/>
  <c r="O162" i="11"/>
  <c r="L162" i="11"/>
  <c r="AF162" i="11" s="1"/>
  <c r="BV162" i="11" s="1"/>
  <c r="F162" i="11"/>
  <c r="BQ161" i="11"/>
  <c r="AS161" i="11"/>
  <c r="AR161" i="11"/>
  <c r="AQ161" i="11"/>
  <c r="AP161" i="11"/>
  <c r="AO161" i="11"/>
  <c r="AN161" i="11"/>
  <c r="AM161" i="11"/>
  <c r="AH161" i="11"/>
  <c r="AG161" i="11"/>
  <c r="R161" i="11"/>
  <c r="O161" i="11"/>
  <c r="L161" i="11"/>
  <c r="AF161" i="11" s="1"/>
  <c r="F161" i="11"/>
  <c r="BQ160" i="11"/>
  <c r="AS160" i="11"/>
  <c r="AR160" i="11"/>
  <c r="AQ160" i="11"/>
  <c r="AP160" i="11"/>
  <c r="AO160" i="11"/>
  <c r="AN160" i="11"/>
  <c r="AM160" i="11"/>
  <c r="AH160" i="11"/>
  <c r="AG160" i="11"/>
  <c r="R160" i="11"/>
  <c r="O160" i="11"/>
  <c r="L160" i="11"/>
  <c r="AF160" i="11" s="1"/>
  <c r="F160" i="11"/>
  <c r="BQ159" i="11"/>
  <c r="AS159" i="11"/>
  <c r="AR159" i="11"/>
  <c r="AQ159" i="11"/>
  <c r="AP159" i="11"/>
  <c r="AO159" i="11"/>
  <c r="AN159" i="11"/>
  <c r="AM159" i="11"/>
  <c r="AH159" i="11"/>
  <c r="AG159" i="11"/>
  <c r="R159" i="11"/>
  <c r="O159" i="11"/>
  <c r="L159" i="11"/>
  <c r="AF159" i="11" s="1"/>
  <c r="BV159" i="11" s="1"/>
  <c r="F159" i="11"/>
  <c r="BQ158" i="11"/>
  <c r="AS158" i="11"/>
  <c r="AR158" i="11"/>
  <c r="AQ158" i="11"/>
  <c r="AP158" i="11"/>
  <c r="AO158" i="11"/>
  <c r="AN158" i="11"/>
  <c r="AM158" i="11"/>
  <c r="AH158" i="11"/>
  <c r="AG158" i="11"/>
  <c r="R158" i="11"/>
  <c r="O158" i="11"/>
  <c r="L158" i="11"/>
  <c r="AF158" i="11" s="1"/>
  <c r="BV158" i="11" s="1"/>
  <c r="F158" i="11"/>
  <c r="BQ157" i="11"/>
  <c r="AS157" i="11"/>
  <c r="AR157" i="11"/>
  <c r="AQ157" i="11"/>
  <c r="AP157" i="11"/>
  <c r="AO157" i="11"/>
  <c r="AN157" i="11"/>
  <c r="AM157" i="11"/>
  <c r="AH157" i="11"/>
  <c r="AG157" i="11"/>
  <c r="R157" i="11"/>
  <c r="O157" i="11"/>
  <c r="L157" i="11"/>
  <c r="AF157" i="11" s="1"/>
  <c r="BV157" i="11" s="1"/>
  <c r="F157" i="11"/>
  <c r="BQ156" i="11"/>
  <c r="AS156" i="11"/>
  <c r="AR156" i="11"/>
  <c r="AQ156" i="11"/>
  <c r="AP156" i="11"/>
  <c r="AO156" i="11"/>
  <c r="AN156" i="11"/>
  <c r="AM156" i="11"/>
  <c r="AH156" i="11"/>
  <c r="AG156" i="11"/>
  <c r="R156" i="11"/>
  <c r="O156" i="11"/>
  <c r="L156" i="11"/>
  <c r="AF156" i="11" s="1"/>
  <c r="BV156" i="11" s="1"/>
  <c r="F156" i="11"/>
  <c r="BQ155" i="11"/>
  <c r="AS155" i="11"/>
  <c r="AR155" i="11"/>
  <c r="AQ155" i="11"/>
  <c r="AP155" i="11"/>
  <c r="AO155" i="11"/>
  <c r="AN155" i="11"/>
  <c r="AM155" i="11"/>
  <c r="AH155" i="11"/>
  <c r="AG155" i="11"/>
  <c r="AF155" i="11"/>
  <c r="BV155" i="11" s="1"/>
  <c r="R155" i="11"/>
  <c r="O155" i="11"/>
  <c r="L155" i="11"/>
  <c r="F155" i="11"/>
  <c r="BQ154" i="11"/>
  <c r="AS154" i="11"/>
  <c r="AR154" i="11"/>
  <c r="AQ154" i="11"/>
  <c r="AP154" i="11"/>
  <c r="AO154" i="11"/>
  <c r="AN154" i="11"/>
  <c r="AM154" i="11"/>
  <c r="AH154" i="11"/>
  <c r="AG154" i="11"/>
  <c r="R154" i="11"/>
  <c r="O154" i="11"/>
  <c r="L154" i="11"/>
  <c r="AF154" i="11" s="1"/>
  <c r="BV154" i="11" s="1"/>
  <c r="F154" i="11"/>
  <c r="BQ153" i="11"/>
  <c r="AS153" i="11"/>
  <c r="AR153" i="11"/>
  <c r="AQ153" i="11"/>
  <c r="AP153" i="11"/>
  <c r="AO153" i="11"/>
  <c r="AN153" i="11"/>
  <c r="AM153" i="11"/>
  <c r="AH153" i="11"/>
  <c r="AG153" i="11"/>
  <c r="R153" i="11"/>
  <c r="O153" i="11"/>
  <c r="L153" i="11"/>
  <c r="AF153" i="11" s="1"/>
  <c r="BV153" i="11" s="1"/>
  <c r="F153" i="11"/>
  <c r="BQ152" i="11"/>
  <c r="AS152" i="11"/>
  <c r="AR152" i="11"/>
  <c r="AQ152" i="11"/>
  <c r="AP152" i="11"/>
  <c r="AO152" i="11"/>
  <c r="AN152" i="11"/>
  <c r="AM152" i="11"/>
  <c r="AH152" i="11"/>
  <c r="AG152" i="11"/>
  <c r="R152" i="11"/>
  <c r="O152" i="11"/>
  <c r="L152" i="11"/>
  <c r="AF152" i="11" s="1"/>
  <c r="BV152" i="11" s="1"/>
  <c r="F152" i="11"/>
  <c r="BQ151" i="11"/>
  <c r="AS151" i="11"/>
  <c r="AR151" i="11"/>
  <c r="AQ151" i="11"/>
  <c r="AP151" i="11"/>
  <c r="AO151" i="11"/>
  <c r="AN151" i="11"/>
  <c r="AM151" i="11"/>
  <c r="AH151" i="11"/>
  <c r="AG151" i="11"/>
  <c r="R151" i="11"/>
  <c r="O151" i="11"/>
  <c r="L151" i="11"/>
  <c r="AF151" i="11" s="1"/>
  <c r="BV151" i="11" s="1"/>
  <c r="F151" i="11"/>
  <c r="BQ150" i="11"/>
  <c r="AS150" i="11"/>
  <c r="AR150" i="11"/>
  <c r="AQ150" i="11"/>
  <c r="AP150" i="11"/>
  <c r="AO150" i="11"/>
  <c r="AN150" i="11"/>
  <c r="AM150" i="11"/>
  <c r="AH150" i="11"/>
  <c r="AG150" i="11"/>
  <c r="R150" i="11"/>
  <c r="O150" i="11"/>
  <c r="L150" i="11"/>
  <c r="AF150" i="11" s="1"/>
  <c r="BV150" i="11" s="1"/>
  <c r="F150" i="11"/>
  <c r="BQ149" i="11"/>
  <c r="AS149" i="11"/>
  <c r="AR149" i="11"/>
  <c r="AQ149" i="11"/>
  <c r="AP149" i="11"/>
  <c r="AO149" i="11"/>
  <c r="AN149" i="11"/>
  <c r="AM149" i="11"/>
  <c r="AH149" i="11"/>
  <c r="AG149" i="11"/>
  <c r="R149" i="11"/>
  <c r="O149" i="11"/>
  <c r="L149" i="11"/>
  <c r="AF149" i="11" s="1"/>
  <c r="F149" i="11"/>
  <c r="BQ148" i="11"/>
  <c r="AS148" i="11"/>
  <c r="AR148" i="11"/>
  <c r="AQ148" i="11"/>
  <c r="AP148" i="11"/>
  <c r="AO148" i="11"/>
  <c r="AN148" i="11"/>
  <c r="AM148" i="11"/>
  <c r="AH148" i="11"/>
  <c r="AG148" i="11"/>
  <c r="R148" i="11"/>
  <c r="O148" i="11"/>
  <c r="L148" i="11"/>
  <c r="AF148" i="11" s="1"/>
  <c r="F148" i="11"/>
  <c r="BQ147" i="11"/>
  <c r="AS147" i="11"/>
  <c r="AR147" i="11"/>
  <c r="AQ147" i="11"/>
  <c r="AP147" i="11"/>
  <c r="AO147" i="11"/>
  <c r="AN147" i="11"/>
  <c r="AM147" i="11"/>
  <c r="AH147" i="11"/>
  <c r="AG147" i="11"/>
  <c r="R147" i="11"/>
  <c r="O147" i="11"/>
  <c r="L147" i="11"/>
  <c r="AF147" i="11" s="1"/>
  <c r="BV147" i="11" s="1"/>
  <c r="F147" i="11"/>
  <c r="BQ146" i="11"/>
  <c r="AS146" i="11"/>
  <c r="AR146" i="11"/>
  <c r="AQ146" i="11"/>
  <c r="AP146" i="11"/>
  <c r="AO146" i="11"/>
  <c r="AN146" i="11"/>
  <c r="AM146" i="11"/>
  <c r="AH146" i="11"/>
  <c r="AG146" i="11"/>
  <c r="AK146" i="11" s="1"/>
  <c r="BP146" i="11" s="1"/>
  <c r="R146" i="11"/>
  <c r="O146" i="11"/>
  <c r="L146" i="11"/>
  <c r="AF146" i="11" s="1"/>
  <c r="BV146" i="11" s="1"/>
  <c r="F146" i="11"/>
  <c r="BQ145" i="11"/>
  <c r="AS145" i="11"/>
  <c r="AR145" i="11"/>
  <c r="AQ145" i="11"/>
  <c r="AP145" i="11"/>
  <c r="AO145" i="11"/>
  <c r="AN145" i="11"/>
  <c r="AM145" i="11"/>
  <c r="AH145" i="11"/>
  <c r="AG145" i="11"/>
  <c r="AI145" i="11" s="1"/>
  <c r="R145" i="11"/>
  <c r="O145" i="11"/>
  <c r="L145" i="11"/>
  <c r="AF145" i="11" s="1"/>
  <c r="BV145" i="11" s="1"/>
  <c r="F145" i="11"/>
  <c r="BQ144" i="11"/>
  <c r="AS144" i="11"/>
  <c r="AR144" i="11"/>
  <c r="AQ144" i="11"/>
  <c r="AP144" i="11"/>
  <c r="AO144" i="11"/>
  <c r="AN144" i="11"/>
  <c r="AM144" i="11"/>
  <c r="AH144" i="11"/>
  <c r="AG144" i="11"/>
  <c r="R144" i="11"/>
  <c r="O144" i="11"/>
  <c r="L144" i="11"/>
  <c r="AF144" i="11" s="1"/>
  <c r="BV144" i="11" s="1"/>
  <c r="F144" i="11"/>
  <c r="BQ143" i="11"/>
  <c r="AS143" i="11"/>
  <c r="AR143" i="11"/>
  <c r="AQ143" i="11"/>
  <c r="AP143" i="11"/>
  <c r="AO143" i="11"/>
  <c r="AN143" i="11"/>
  <c r="AM143" i="11"/>
  <c r="AH143" i="11"/>
  <c r="AG143" i="11"/>
  <c r="R143" i="11"/>
  <c r="O143" i="11"/>
  <c r="L143" i="11"/>
  <c r="AF143" i="11" s="1"/>
  <c r="BV143" i="11" s="1"/>
  <c r="F143" i="11"/>
  <c r="BQ142" i="11"/>
  <c r="AS142" i="11"/>
  <c r="AR142" i="11"/>
  <c r="AQ142" i="11"/>
  <c r="AP142" i="11"/>
  <c r="AO142" i="11"/>
  <c r="AN142" i="11"/>
  <c r="AM142" i="11"/>
  <c r="AH142" i="11"/>
  <c r="AG142" i="11"/>
  <c r="R142" i="11"/>
  <c r="O142" i="11"/>
  <c r="L142" i="11"/>
  <c r="AF142" i="11" s="1"/>
  <c r="BV142" i="11" s="1"/>
  <c r="F142" i="11"/>
  <c r="BQ141" i="11"/>
  <c r="AS141" i="11"/>
  <c r="AR141" i="11"/>
  <c r="AQ141" i="11"/>
  <c r="AP141" i="11"/>
  <c r="AO141" i="11"/>
  <c r="AN141" i="11"/>
  <c r="AM141" i="11"/>
  <c r="AH141" i="11"/>
  <c r="AG141" i="11"/>
  <c r="R141" i="11"/>
  <c r="O141" i="11"/>
  <c r="L141" i="11"/>
  <c r="AF141" i="11" s="1"/>
  <c r="BV141" i="11" s="1"/>
  <c r="F141" i="11"/>
  <c r="BQ140" i="11"/>
  <c r="AS140" i="11"/>
  <c r="AR140" i="11"/>
  <c r="AQ140" i="11"/>
  <c r="AP140" i="11"/>
  <c r="AO140" i="11"/>
  <c r="AN140" i="11"/>
  <c r="AM140" i="11"/>
  <c r="AH140" i="11"/>
  <c r="AG140" i="11"/>
  <c r="R140" i="11"/>
  <c r="O140" i="11"/>
  <c r="L140" i="11"/>
  <c r="AF140" i="11" s="1"/>
  <c r="BV140" i="11" s="1"/>
  <c r="F140" i="11"/>
  <c r="BQ139" i="11"/>
  <c r="AS139" i="11"/>
  <c r="AR139" i="11"/>
  <c r="AQ139" i="11"/>
  <c r="AP139" i="11"/>
  <c r="AO139" i="11"/>
  <c r="AN139" i="11"/>
  <c r="AM139" i="11"/>
  <c r="AH139" i="11"/>
  <c r="AG139" i="11"/>
  <c r="R139" i="11"/>
  <c r="O139" i="11"/>
  <c r="L139" i="11"/>
  <c r="AF139" i="11" s="1"/>
  <c r="BV139" i="11" s="1"/>
  <c r="F139" i="11"/>
  <c r="BQ138" i="11"/>
  <c r="AS138" i="11"/>
  <c r="AR138" i="11"/>
  <c r="AQ138" i="11"/>
  <c r="AP138" i="11"/>
  <c r="AO138" i="11"/>
  <c r="AN138" i="11"/>
  <c r="AM138" i="11"/>
  <c r="AH138" i="11"/>
  <c r="AG138" i="11"/>
  <c r="R138" i="11"/>
  <c r="O138" i="11"/>
  <c r="L138" i="11"/>
  <c r="AF138" i="11" s="1"/>
  <c r="BV138" i="11" s="1"/>
  <c r="F138" i="11"/>
  <c r="BQ137" i="11"/>
  <c r="AS137" i="11"/>
  <c r="AR137" i="11"/>
  <c r="AQ137" i="11"/>
  <c r="AP137" i="11"/>
  <c r="AO137" i="11"/>
  <c r="AN137" i="11"/>
  <c r="AM137" i="11"/>
  <c r="AH137" i="11"/>
  <c r="AG137" i="11"/>
  <c r="R137" i="11"/>
  <c r="O137" i="11"/>
  <c r="L137" i="11"/>
  <c r="AF137" i="11" s="1"/>
  <c r="F137" i="11"/>
  <c r="BQ136" i="11"/>
  <c r="AS136" i="11"/>
  <c r="AR136" i="11"/>
  <c r="AQ136" i="11"/>
  <c r="AP136" i="11"/>
  <c r="AO136" i="11"/>
  <c r="AN136" i="11"/>
  <c r="AM136" i="11"/>
  <c r="AH136" i="11"/>
  <c r="AG136" i="11"/>
  <c r="R136" i="11"/>
  <c r="O136" i="11"/>
  <c r="L136" i="11"/>
  <c r="AF136" i="11" s="1"/>
  <c r="F136" i="11"/>
  <c r="BQ135" i="11"/>
  <c r="AS135" i="11"/>
  <c r="AR135" i="11"/>
  <c r="AQ135" i="11"/>
  <c r="AP135" i="11"/>
  <c r="AO135" i="11"/>
  <c r="AN135" i="11"/>
  <c r="AM135" i="11"/>
  <c r="AH135" i="11"/>
  <c r="AG135" i="11"/>
  <c r="R135" i="11"/>
  <c r="O135" i="11"/>
  <c r="L135" i="11"/>
  <c r="AF135" i="11" s="1"/>
  <c r="BV135" i="11" s="1"/>
  <c r="F135" i="11"/>
  <c r="BQ134" i="11"/>
  <c r="AS134" i="11"/>
  <c r="AR134" i="11"/>
  <c r="AQ134" i="11"/>
  <c r="AP134" i="11"/>
  <c r="AO134" i="11"/>
  <c r="AN134" i="11"/>
  <c r="AM134" i="11"/>
  <c r="AH134" i="11"/>
  <c r="AG134" i="11"/>
  <c r="AL134" i="11" s="1"/>
  <c r="R134" i="11"/>
  <c r="O134" i="11"/>
  <c r="L134" i="11"/>
  <c r="AF134" i="11" s="1"/>
  <c r="BV134" i="11" s="1"/>
  <c r="F134" i="11"/>
  <c r="BQ133" i="11"/>
  <c r="AS133" i="11"/>
  <c r="AR133" i="11"/>
  <c r="AQ133" i="11"/>
  <c r="AP133" i="11"/>
  <c r="AO133" i="11"/>
  <c r="AN133" i="11"/>
  <c r="AM133" i="11"/>
  <c r="AH133" i="11"/>
  <c r="AG133" i="11"/>
  <c r="R133" i="11"/>
  <c r="O133" i="11"/>
  <c r="L133" i="11"/>
  <c r="AF133" i="11" s="1"/>
  <c r="BV133" i="11" s="1"/>
  <c r="F133" i="11"/>
  <c r="BQ132" i="11"/>
  <c r="AS132" i="11"/>
  <c r="AR132" i="11"/>
  <c r="AQ132" i="11"/>
  <c r="AP132" i="11"/>
  <c r="AO132" i="11"/>
  <c r="BS132" i="11" s="1"/>
  <c r="AN132" i="11"/>
  <c r="AM132" i="11"/>
  <c r="AH132" i="11"/>
  <c r="AG132" i="11"/>
  <c r="R132" i="11"/>
  <c r="O132" i="11"/>
  <c r="L132" i="11"/>
  <c r="AF132" i="11" s="1"/>
  <c r="BV132" i="11" s="1"/>
  <c r="F132" i="11"/>
  <c r="BQ131" i="11"/>
  <c r="AS131" i="11"/>
  <c r="AR131" i="11"/>
  <c r="AQ131" i="11"/>
  <c r="AP131" i="11"/>
  <c r="AO131" i="11"/>
  <c r="AN131" i="11"/>
  <c r="AM131" i="11"/>
  <c r="AH131" i="11"/>
  <c r="AG131" i="11"/>
  <c r="AJ131" i="11" s="1"/>
  <c r="R131" i="11"/>
  <c r="O131" i="11"/>
  <c r="L131" i="11"/>
  <c r="AF131" i="11" s="1"/>
  <c r="BV131" i="11" s="1"/>
  <c r="F131" i="11"/>
  <c r="BQ130" i="11"/>
  <c r="AS130" i="11"/>
  <c r="AR130" i="11"/>
  <c r="AQ130" i="11"/>
  <c r="AP130" i="11"/>
  <c r="AO130" i="11"/>
  <c r="AN130" i="11"/>
  <c r="AM130" i="11"/>
  <c r="AH130" i="11"/>
  <c r="AG130" i="11"/>
  <c r="AK130" i="11" s="1"/>
  <c r="BP130" i="11" s="1"/>
  <c r="R130" i="11"/>
  <c r="O130" i="11"/>
  <c r="L130" i="11"/>
  <c r="AF130" i="11" s="1"/>
  <c r="BV130" i="11" s="1"/>
  <c r="F130" i="11"/>
  <c r="BQ129" i="11"/>
  <c r="AS129" i="11"/>
  <c r="AR129" i="11"/>
  <c r="AQ129" i="11"/>
  <c r="AP129" i="11"/>
  <c r="AO129" i="11"/>
  <c r="AN129" i="11"/>
  <c r="AM129" i="11"/>
  <c r="AH129" i="11"/>
  <c r="AG129" i="11"/>
  <c r="R129" i="11"/>
  <c r="O129" i="11"/>
  <c r="L129" i="11"/>
  <c r="AF129" i="11" s="1"/>
  <c r="BV129" i="11" s="1"/>
  <c r="F129" i="11"/>
  <c r="BQ128" i="11"/>
  <c r="AS128" i="11"/>
  <c r="AR128" i="11"/>
  <c r="AQ128" i="11"/>
  <c r="AP128" i="11"/>
  <c r="AO128" i="11"/>
  <c r="BS128" i="11" s="1"/>
  <c r="AN128" i="11"/>
  <c r="AM128" i="11"/>
  <c r="AH128" i="11"/>
  <c r="AG128" i="11"/>
  <c r="R128" i="11"/>
  <c r="O128" i="11"/>
  <c r="L128" i="11"/>
  <c r="AF128" i="11" s="1"/>
  <c r="BV128" i="11" s="1"/>
  <c r="F128" i="11"/>
  <c r="BQ127" i="11"/>
  <c r="AS127" i="11"/>
  <c r="AR127" i="11"/>
  <c r="AQ127" i="11"/>
  <c r="AP127" i="11"/>
  <c r="AO127" i="11"/>
  <c r="AN127" i="11"/>
  <c r="AM127" i="11"/>
  <c r="AH127" i="11"/>
  <c r="AG127" i="11"/>
  <c r="R127" i="11"/>
  <c r="O127" i="11"/>
  <c r="L127" i="11"/>
  <c r="AF127" i="11" s="1"/>
  <c r="BV127" i="11" s="1"/>
  <c r="F127" i="11"/>
  <c r="BQ126" i="11"/>
  <c r="AS126" i="11"/>
  <c r="AR126" i="11"/>
  <c r="AQ126" i="11"/>
  <c r="AP126" i="11"/>
  <c r="AO126" i="11"/>
  <c r="AN126" i="11"/>
  <c r="AM126" i="11"/>
  <c r="AH126" i="11"/>
  <c r="AG126" i="11"/>
  <c r="R126" i="11"/>
  <c r="O126" i="11"/>
  <c r="L126" i="11"/>
  <c r="AF126" i="11" s="1"/>
  <c r="BV126" i="11" s="1"/>
  <c r="F126" i="11"/>
  <c r="BQ125" i="11"/>
  <c r="AS125" i="11"/>
  <c r="AR125" i="11"/>
  <c r="AQ125" i="11"/>
  <c r="AP125" i="11"/>
  <c r="AO125" i="11"/>
  <c r="AN125" i="11"/>
  <c r="AM125" i="11"/>
  <c r="AH125" i="11"/>
  <c r="AG125" i="11"/>
  <c r="R125" i="11"/>
  <c r="O125" i="11"/>
  <c r="L125" i="11"/>
  <c r="AF125" i="11" s="1"/>
  <c r="F125" i="11"/>
  <c r="BQ124" i="11"/>
  <c r="AS124" i="11"/>
  <c r="AR124" i="11"/>
  <c r="AQ124" i="11"/>
  <c r="AP124" i="11"/>
  <c r="AO124" i="11"/>
  <c r="AN124" i="11"/>
  <c r="AM124" i="11"/>
  <c r="AH124" i="11"/>
  <c r="AG124" i="11"/>
  <c r="R124" i="11"/>
  <c r="O124" i="11"/>
  <c r="L124" i="11"/>
  <c r="AF124" i="11" s="1"/>
  <c r="BV124" i="11" s="1"/>
  <c r="F124" i="11"/>
  <c r="BQ123" i="11"/>
  <c r="AS123" i="11"/>
  <c r="AR123" i="11"/>
  <c r="AQ123" i="11"/>
  <c r="AP123" i="11"/>
  <c r="AO123" i="11"/>
  <c r="AN123" i="11"/>
  <c r="AM123" i="11"/>
  <c r="AH123" i="11"/>
  <c r="AG123" i="11"/>
  <c r="R123" i="11"/>
  <c r="O123" i="11"/>
  <c r="L123" i="11"/>
  <c r="AF123" i="11" s="1"/>
  <c r="BV123" i="11" s="1"/>
  <c r="F123" i="11"/>
  <c r="BQ122" i="11"/>
  <c r="AS122" i="11"/>
  <c r="AR122" i="11"/>
  <c r="AQ122" i="11"/>
  <c r="AP122" i="11"/>
  <c r="AO122" i="11"/>
  <c r="AN122" i="11"/>
  <c r="AM122" i="11"/>
  <c r="AH122" i="11"/>
  <c r="AG122" i="11"/>
  <c r="R122" i="11"/>
  <c r="O122" i="11"/>
  <c r="L122" i="11"/>
  <c r="AF122" i="11" s="1"/>
  <c r="BV122" i="11" s="1"/>
  <c r="F122" i="11"/>
  <c r="BQ121" i="11"/>
  <c r="AS121" i="11"/>
  <c r="AR121" i="11"/>
  <c r="AQ121" i="11"/>
  <c r="AP121" i="11"/>
  <c r="AO121" i="11"/>
  <c r="AN121" i="11"/>
  <c r="AM121" i="11"/>
  <c r="AH121" i="11"/>
  <c r="AG121" i="11"/>
  <c r="R121" i="11"/>
  <c r="O121" i="11"/>
  <c r="L121" i="11"/>
  <c r="AF121" i="11" s="1"/>
  <c r="BV121" i="11" s="1"/>
  <c r="F121" i="11"/>
  <c r="BQ120" i="11"/>
  <c r="AS120" i="11"/>
  <c r="AR120" i="11"/>
  <c r="AQ120" i="11"/>
  <c r="AP120" i="11"/>
  <c r="AO120" i="11"/>
  <c r="AN120" i="11"/>
  <c r="AM120" i="11"/>
  <c r="AH120" i="11"/>
  <c r="AG120" i="11"/>
  <c r="R120" i="11"/>
  <c r="O120" i="11"/>
  <c r="L120" i="11"/>
  <c r="AF120" i="11" s="1"/>
  <c r="BV120" i="11" s="1"/>
  <c r="F120" i="11"/>
  <c r="BQ119" i="11"/>
  <c r="AS119" i="11"/>
  <c r="AR119" i="11"/>
  <c r="AQ119" i="11"/>
  <c r="AP119" i="11"/>
  <c r="AO119" i="11"/>
  <c r="AN119" i="11"/>
  <c r="AM119" i="11"/>
  <c r="AH119" i="11"/>
  <c r="AG119" i="11"/>
  <c r="R119" i="11"/>
  <c r="O119" i="11"/>
  <c r="L119" i="11"/>
  <c r="AF119" i="11" s="1"/>
  <c r="BV119" i="11" s="1"/>
  <c r="F119" i="11"/>
  <c r="BQ118" i="11"/>
  <c r="AS118" i="11"/>
  <c r="AR118" i="11"/>
  <c r="AQ118" i="11"/>
  <c r="AP118" i="11"/>
  <c r="AO118" i="11"/>
  <c r="AN118" i="11"/>
  <c r="AM118" i="11"/>
  <c r="AH118" i="11"/>
  <c r="AG118" i="11"/>
  <c r="R118" i="11"/>
  <c r="O118" i="11"/>
  <c r="L118" i="11"/>
  <c r="AF118" i="11" s="1"/>
  <c r="BV118" i="11" s="1"/>
  <c r="F118" i="11"/>
  <c r="BQ117" i="11"/>
  <c r="AS117" i="11"/>
  <c r="AR117" i="11"/>
  <c r="AQ117" i="11"/>
  <c r="AP117" i="11"/>
  <c r="AO117" i="11"/>
  <c r="AN117" i="11"/>
  <c r="AM117" i="11"/>
  <c r="AH117" i="11"/>
  <c r="AG117" i="11"/>
  <c r="AF117" i="11"/>
  <c r="BV117" i="11" s="1"/>
  <c r="R117" i="11"/>
  <c r="O117" i="11"/>
  <c r="L117" i="11"/>
  <c r="F117" i="11"/>
  <c r="BQ116" i="11"/>
  <c r="AS116" i="11"/>
  <c r="AR116" i="11"/>
  <c r="AQ116" i="11"/>
  <c r="AP116" i="11"/>
  <c r="AO116" i="11"/>
  <c r="AN116" i="11"/>
  <c r="AM116" i="11"/>
  <c r="AH116" i="11"/>
  <c r="AG116" i="11"/>
  <c r="R116" i="11"/>
  <c r="O116" i="11"/>
  <c r="L116" i="11"/>
  <c r="AF116" i="11" s="1"/>
  <c r="BV116" i="11" s="1"/>
  <c r="F116" i="11"/>
  <c r="BQ115" i="11"/>
  <c r="AS115" i="11"/>
  <c r="AR115" i="11"/>
  <c r="AQ115" i="11"/>
  <c r="AP115" i="11"/>
  <c r="AO115" i="11"/>
  <c r="AN115" i="11"/>
  <c r="AM115" i="11"/>
  <c r="AH115" i="11"/>
  <c r="AG115" i="11"/>
  <c r="R115" i="11"/>
  <c r="O115" i="11"/>
  <c r="L115" i="11"/>
  <c r="AF115" i="11" s="1"/>
  <c r="BV115" i="11" s="1"/>
  <c r="F115" i="11"/>
  <c r="BQ114" i="11"/>
  <c r="AS114" i="11"/>
  <c r="AR114" i="11"/>
  <c r="AQ114" i="11"/>
  <c r="AP114" i="11"/>
  <c r="AO114" i="11"/>
  <c r="AN114" i="11"/>
  <c r="AM114" i="11"/>
  <c r="AH114" i="11"/>
  <c r="AG114" i="11"/>
  <c r="R114" i="11"/>
  <c r="O114" i="11"/>
  <c r="L114" i="11"/>
  <c r="AF114" i="11" s="1"/>
  <c r="F114" i="11"/>
  <c r="BQ113" i="11"/>
  <c r="AS113" i="11"/>
  <c r="AR113" i="11"/>
  <c r="AQ113" i="11"/>
  <c r="AP113" i="11"/>
  <c r="AO113" i="11"/>
  <c r="AN113" i="11"/>
  <c r="AM113" i="11"/>
  <c r="AH113" i="11"/>
  <c r="AG113" i="11"/>
  <c r="R113" i="11"/>
  <c r="O113" i="11"/>
  <c r="L113" i="11"/>
  <c r="AF113" i="11" s="1"/>
  <c r="F113" i="11"/>
  <c r="BQ112" i="11"/>
  <c r="AS112" i="11"/>
  <c r="AR112" i="11"/>
  <c r="AQ112" i="11"/>
  <c r="AP112" i="11"/>
  <c r="AO112" i="11"/>
  <c r="AN112" i="11"/>
  <c r="AM112" i="11"/>
  <c r="AH112" i="11"/>
  <c r="AG112" i="11"/>
  <c r="R112" i="11"/>
  <c r="O112" i="11"/>
  <c r="L112" i="11"/>
  <c r="AF112" i="11" s="1"/>
  <c r="BV112" i="11" s="1"/>
  <c r="F112" i="11"/>
  <c r="BQ111" i="11"/>
  <c r="AS111" i="11"/>
  <c r="AR111" i="11"/>
  <c r="AQ111" i="11"/>
  <c r="AP111" i="11"/>
  <c r="AO111" i="11"/>
  <c r="AN111" i="11"/>
  <c r="AM111" i="11"/>
  <c r="AH111" i="11"/>
  <c r="AG111" i="11"/>
  <c r="R111" i="11"/>
  <c r="O111" i="11"/>
  <c r="L111" i="11"/>
  <c r="AF111" i="11" s="1"/>
  <c r="BV111" i="11" s="1"/>
  <c r="F111" i="11"/>
  <c r="BQ110" i="11"/>
  <c r="AS110" i="11"/>
  <c r="AR110" i="11"/>
  <c r="AQ110" i="11"/>
  <c r="AP110" i="11"/>
  <c r="AO110" i="11"/>
  <c r="AN110" i="11"/>
  <c r="AM110" i="11"/>
  <c r="AH110" i="11"/>
  <c r="AG110" i="11"/>
  <c r="R110" i="11"/>
  <c r="O110" i="11"/>
  <c r="L110" i="11"/>
  <c r="AF110" i="11" s="1"/>
  <c r="F110" i="11"/>
  <c r="BQ109" i="11"/>
  <c r="AS109" i="11"/>
  <c r="AR109" i="11"/>
  <c r="AQ109" i="11"/>
  <c r="AP109" i="11"/>
  <c r="AO109" i="11"/>
  <c r="AN109" i="11"/>
  <c r="AM109" i="11"/>
  <c r="AH109" i="11"/>
  <c r="AG109" i="11"/>
  <c r="R109" i="11"/>
  <c r="O109" i="11"/>
  <c r="L109" i="11"/>
  <c r="AF109" i="11" s="1"/>
  <c r="BV109" i="11" s="1"/>
  <c r="F109" i="11"/>
  <c r="BQ108" i="11"/>
  <c r="AS108" i="11"/>
  <c r="AR108" i="11"/>
  <c r="AQ108" i="11"/>
  <c r="AP108" i="11"/>
  <c r="AO108" i="11"/>
  <c r="AN108" i="11"/>
  <c r="AM108" i="11"/>
  <c r="AH108" i="11"/>
  <c r="AG108" i="11"/>
  <c r="R108" i="11"/>
  <c r="O108" i="11"/>
  <c r="L108" i="11"/>
  <c r="AF108" i="11" s="1"/>
  <c r="BV108" i="11" s="1"/>
  <c r="F108" i="11"/>
  <c r="BQ107" i="11"/>
  <c r="AS107" i="11"/>
  <c r="AR107" i="11"/>
  <c r="AQ107" i="11"/>
  <c r="AP107" i="11"/>
  <c r="AO107" i="11"/>
  <c r="AN107" i="11"/>
  <c r="AM107" i="11"/>
  <c r="AH107" i="11"/>
  <c r="AG107" i="11"/>
  <c r="R107" i="11"/>
  <c r="O107" i="11"/>
  <c r="L107" i="11"/>
  <c r="AF107" i="11" s="1"/>
  <c r="BV107" i="11" s="1"/>
  <c r="F107" i="11"/>
  <c r="BQ106" i="11"/>
  <c r="AS106" i="11"/>
  <c r="AR106" i="11"/>
  <c r="AQ106" i="11"/>
  <c r="AP106" i="11"/>
  <c r="AO106" i="11"/>
  <c r="AN106" i="11"/>
  <c r="AM106" i="11"/>
  <c r="AH106" i="11"/>
  <c r="AG106" i="11"/>
  <c r="AF106" i="11"/>
  <c r="BV106" i="11" s="1"/>
  <c r="R106" i="11"/>
  <c r="O106" i="11"/>
  <c r="L106" i="11"/>
  <c r="F106" i="11"/>
  <c r="BQ105" i="11"/>
  <c r="AS105" i="11"/>
  <c r="AR105" i="11"/>
  <c r="AQ105" i="11"/>
  <c r="AP105" i="11"/>
  <c r="AO105" i="11"/>
  <c r="AN105" i="11"/>
  <c r="AM105" i="11"/>
  <c r="AH105" i="11"/>
  <c r="AG105" i="11"/>
  <c r="R105" i="11"/>
  <c r="O105" i="11"/>
  <c r="L105" i="11"/>
  <c r="AF105" i="11" s="1"/>
  <c r="BV105" i="11" s="1"/>
  <c r="F105" i="11"/>
  <c r="BQ104" i="11"/>
  <c r="AS104" i="11"/>
  <c r="AR104" i="11"/>
  <c r="AQ104" i="11"/>
  <c r="AP104" i="11"/>
  <c r="AO104" i="11"/>
  <c r="AN104" i="11"/>
  <c r="AM104" i="11"/>
  <c r="AH104" i="11"/>
  <c r="AG104" i="11"/>
  <c r="AK104" i="11" s="1"/>
  <c r="R104" i="11"/>
  <c r="O104" i="11"/>
  <c r="L104" i="11"/>
  <c r="AF104" i="11" s="1"/>
  <c r="BV104" i="11" s="1"/>
  <c r="F104" i="11"/>
  <c r="BQ103" i="11"/>
  <c r="AS103" i="11"/>
  <c r="AR103" i="11"/>
  <c r="AQ103" i="11"/>
  <c r="AP103" i="11"/>
  <c r="AO103" i="11"/>
  <c r="AN103" i="11"/>
  <c r="AM103" i="11"/>
  <c r="AH103" i="11"/>
  <c r="AG103" i="11"/>
  <c r="R103" i="11"/>
  <c r="O103" i="11"/>
  <c r="L103" i="11"/>
  <c r="AF103" i="11" s="1"/>
  <c r="BV103" i="11" s="1"/>
  <c r="F103" i="11"/>
  <c r="BQ102" i="11"/>
  <c r="AS102" i="11"/>
  <c r="AR102" i="11"/>
  <c r="AQ102" i="11"/>
  <c r="AP102" i="11"/>
  <c r="AO102" i="11"/>
  <c r="AN102" i="11"/>
  <c r="AM102" i="11"/>
  <c r="AH102" i="11"/>
  <c r="AG102" i="11"/>
  <c r="R102" i="11"/>
  <c r="O102" i="11"/>
  <c r="L102" i="11"/>
  <c r="AF102" i="11" s="1"/>
  <c r="BV102" i="11" s="1"/>
  <c r="F102" i="11"/>
  <c r="BQ101" i="11"/>
  <c r="AS101" i="11"/>
  <c r="AR101" i="11"/>
  <c r="AQ101" i="11"/>
  <c r="AP101" i="11"/>
  <c r="AO101" i="11"/>
  <c r="BS101" i="11" s="1"/>
  <c r="AN101" i="11"/>
  <c r="AM101" i="11"/>
  <c r="AH101" i="11"/>
  <c r="AG101" i="11"/>
  <c r="R101" i="11"/>
  <c r="O101" i="11"/>
  <c r="L101" i="11"/>
  <c r="AF101" i="11" s="1"/>
  <c r="BV101" i="11" s="1"/>
  <c r="F101" i="11"/>
  <c r="BQ100" i="11"/>
  <c r="AS100" i="11"/>
  <c r="AR100" i="11"/>
  <c r="AQ100" i="11"/>
  <c r="AP100" i="11"/>
  <c r="AO100" i="11"/>
  <c r="AN100" i="11"/>
  <c r="AM100" i="11"/>
  <c r="AH100" i="11"/>
  <c r="AG100" i="11"/>
  <c r="AK100" i="11" s="1"/>
  <c r="R100" i="11"/>
  <c r="O100" i="11"/>
  <c r="L100" i="11"/>
  <c r="AF100" i="11" s="1"/>
  <c r="BV100" i="11" s="1"/>
  <c r="F100" i="11"/>
  <c r="BQ99" i="11"/>
  <c r="AS99" i="11"/>
  <c r="AR99" i="11"/>
  <c r="AQ99" i="11"/>
  <c r="AP99" i="11"/>
  <c r="AO99" i="11"/>
  <c r="AN99" i="11"/>
  <c r="AM99" i="11"/>
  <c r="AH99" i="11"/>
  <c r="AG99" i="11"/>
  <c r="R99" i="11"/>
  <c r="O99" i="11"/>
  <c r="L99" i="11"/>
  <c r="AF99" i="11" s="1"/>
  <c r="BV99" i="11" s="1"/>
  <c r="F99" i="11"/>
  <c r="BQ98" i="11"/>
  <c r="AS98" i="11"/>
  <c r="AR98" i="11"/>
  <c r="AQ98" i="11"/>
  <c r="AP98" i="11"/>
  <c r="AO98" i="11"/>
  <c r="AN98" i="11"/>
  <c r="AM98" i="11"/>
  <c r="AH98" i="11"/>
  <c r="AG98" i="11"/>
  <c r="R98" i="11"/>
  <c r="O98" i="11"/>
  <c r="L98" i="11"/>
  <c r="AF98" i="11" s="1"/>
  <c r="F98" i="11"/>
  <c r="BQ97" i="11"/>
  <c r="AS97" i="11"/>
  <c r="AR97" i="11"/>
  <c r="AQ97" i="11"/>
  <c r="AP97" i="11"/>
  <c r="AO97" i="11"/>
  <c r="AN97" i="11"/>
  <c r="AM97" i="11"/>
  <c r="AH97" i="11"/>
  <c r="AG97" i="11"/>
  <c r="R97" i="11"/>
  <c r="O97" i="11"/>
  <c r="L97" i="11"/>
  <c r="AF97" i="11" s="1"/>
  <c r="BV97" i="11" s="1"/>
  <c r="F97" i="11"/>
  <c r="BQ96" i="11"/>
  <c r="AS96" i="11"/>
  <c r="AR96" i="11"/>
  <c r="AQ96" i="11"/>
  <c r="AP96" i="11"/>
  <c r="AO96" i="11"/>
  <c r="AN96" i="11"/>
  <c r="AM96" i="11"/>
  <c r="AH96" i="11"/>
  <c r="AG96" i="11"/>
  <c r="R96" i="11"/>
  <c r="O96" i="11"/>
  <c r="L96" i="11"/>
  <c r="AF96" i="11" s="1"/>
  <c r="BV96" i="11" s="1"/>
  <c r="F96" i="11"/>
  <c r="BQ95" i="11"/>
  <c r="AS95" i="11"/>
  <c r="AR95" i="11"/>
  <c r="AQ95" i="11"/>
  <c r="AP95" i="11"/>
  <c r="AO95" i="11"/>
  <c r="AN95" i="11"/>
  <c r="AM95" i="11"/>
  <c r="AH95" i="11"/>
  <c r="AG95" i="11"/>
  <c r="R95" i="11"/>
  <c r="O95" i="11"/>
  <c r="L95" i="11"/>
  <c r="AF95" i="11" s="1"/>
  <c r="BV95" i="11" s="1"/>
  <c r="F95" i="11"/>
  <c r="BQ94" i="11"/>
  <c r="AS94" i="11"/>
  <c r="AR94" i="11"/>
  <c r="AQ94" i="11"/>
  <c r="AP94" i="11"/>
  <c r="AO94" i="11"/>
  <c r="AN94" i="11"/>
  <c r="AM94" i="11"/>
  <c r="AH94" i="11"/>
  <c r="AG94" i="11"/>
  <c r="R94" i="11"/>
  <c r="O94" i="11"/>
  <c r="L94" i="11"/>
  <c r="AF94" i="11" s="1"/>
  <c r="F94" i="11"/>
  <c r="BQ93" i="11"/>
  <c r="AS93" i="11"/>
  <c r="AR93" i="11"/>
  <c r="AQ93" i="11"/>
  <c r="AP93" i="11"/>
  <c r="AO93" i="11"/>
  <c r="AN93" i="11"/>
  <c r="AM93" i="11"/>
  <c r="AH93" i="11"/>
  <c r="AI93" i="11" s="1"/>
  <c r="AG93" i="11"/>
  <c r="R93" i="11"/>
  <c r="O93" i="11"/>
  <c r="L93" i="11"/>
  <c r="AF93" i="11" s="1"/>
  <c r="BV93" i="11" s="1"/>
  <c r="F93" i="11"/>
  <c r="BQ92" i="11"/>
  <c r="AS92" i="11"/>
  <c r="AR92" i="11"/>
  <c r="AQ92" i="11"/>
  <c r="AP92" i="11"/>
  <c r="AO92" i="11"/>
  <c r="AN92" i="11"/>
  <c r="AM92" i="11"/>
  <c r="AH92" i="11"/>
  <c r="AG92" i="11"/>
  <c r="R92" i="11"/>
  <c r="O92" i="11"/>
  <c r="L92" i="11"/>
  <c r="AF92" i="11" s="1"/>
  <c r="BV92" i="11" s="1"/>
  <c r="F92" i="11"/>
  <c r="BQ91" i="11"/>
  <c r="AS91" i="11"/>
  <c r="AR91" i="11"/>
  <c r="AQ91" i="11"/>
  <c r="AP91" i="11"/>
  <c r="AO91" i="11"/>
  <c r="AN91" i="11"/>
  <c r="AM91" i="11"/>
  <c r="AH91" i="11"/>
  <c r="AG91" i="11"/>
  <c r="R91" i="11"/>
  <c r="O91" i="11"/>
  <c r="L91" i="11"/>
  <c r="AF91" i="11" s="1"/>
  <c r="BV91" i="11" s="1"/>
  <c r="F91" i="11"/>
  <c r="BQ90" i="11"/>
  <c r="AS90" i="11"/>
  <c r="AR90" i="11"/>
  <c r="AQ90" i="11"/>
  <c r="AP90" i="11"/>
  <c r="AO90" i="11"/>
  <c r="AN90" i="11"/>
  <c r="AM90" i="11"/>
  <c r="AH90" i="11"/>
  <c r="AG90" i="11"/>
  <c r="R90" i="11"/>
  <c r="O90" i="11"/>
  <c r="L90" i="11"/>
  <c r="AF90" i="11" s="1"/>
  <c r="BV90" i="11" s="1"/>
  <c r="F90" i="11"/>
  <c r="BQ89" i="11"/>
  <c r="AS89" i="11"/>
  <c r="AR89" i="11"/>
  <c r="AQ89" i="11"/>
  <c r="AP89" i="11"/>
  <c r="AO89" i="11"/>
  <c r="AN89" i="11"/>
  <c r="AM89" i="11"/>
  <c r="AH89" i="11"/>
  <c r="AG89" i="11"/>
  <c r="R89" i="11"/>
  <c r="O89" i="11"/>
  <c r="L89" i="11"/>
  <c r="AF89" i="11" s="1"/>
  <c r="BV89" i="11" s="1"/>
  <c r="F89" i="11"/>
  <c r="BQ88" i="11"/>
  <c r="AS88" i="11"/>
  <c r="AR88" i="11"/>
  <c r="AQ88" i="11"/>
  <c r="AP88" i="11"/>
  <c r="AO88" i="11"/>
  <c r="AN88" i="11"/>
  <c r="AM88" i="11"/>
  <c r="AH88" i="11"/>
  <c r="AG88" i="11"/>
  <c r="AK88" i="11" s="1"/>
  <c r="R88" i="11"/>
  <c r="O88" i="11"/>
  <c r="L88" i="11"/>
  <c r="AF88" i="11" s="1"/>
  <c r="BV88" i="11" s="1"/>
  <c r="F88" i="11"/>
  <c r="BQ87" i="11"/>
  <c r="AS87" i="11"/>
  <c r="AR87" i="11"/>
  <c r="AQ87" i="11"/>
  <c r="AP87" i="11"/>
  <c r="AO87" i="11"/>
  <c r="AN87" i="11"/>
  <c r="AM87" i="11"/>
  <c r="AH87" i="11"/>
  <c r="AG87" i="11"/>
  <c r="AF87" i="11"/>
  <c r="BV87" i="11" s="1"/>
  <c r="R87" i="11"/>
  <c r="O87" i="11"/>
  <c r="L87" i="11"/>
  <c r="F87" i="11"/>
  <c r="BQ86" i="11"/>
  <c r="AS86" i="11"/>
  <c r="AR86" i="11"/>
  <c r="AQ86" i="11"/>
  <c r="AP86" i="11"/>
  <c r="AO86" i="11"/>
  <c r="AN86" i="11"/>
  <c r="AM86" i="11"/>
  <c r="AH86" i="11"/>
  <c r="AG86" i="11"/>
  <c r="R86" i="11"/>
  <c r="O86" i="11"/>
  <c r="L86" i="11"/>
  <c r="AF86" i="11" s="1"/>
  <c r="BV86" i="11" s="1"/>
  <c r="F86" i="11"/>
  <c r="BQ85" i="11"/>
  <c r="AS85" i="11"/>
  <c r="AR85" i="11"/>
  <c r="AQ85" i="11"/>
  <c r="AP85" i="11"/>
  <c r="AO85" i="11"/>
  <c r="AN85" i="11"/>
  <c r="AM85" i="11"/>
  <c r="AH85" i="11"/>
  <c r="AG85" i="11"/>
  <c r="R85" i="11"/>
  <c r="O85" i="11"/>
  <c r="L85" i="11"/>
  <c r="AF85" i="11" s="1"/>
  <c r="BV85" i="11" s="1"/>
  <c r="F85" i="11"/>
  <c r="BQ84" i="11"/>
  <c r="AS84" i="11"/>
  <c r="AR84" i="11"/>
  <c r="AQ84" i="11"/>
  <c r="AP84" i="11"/>
  <c r="AO84" i="11"/>
  <c r="AN84" i="11"/>
  <c r="AM84" i="11"/>
  <c r="AH84" i="11"/>
  <c r="AG84" i="11"/>
  <c r="R84" i="11"/>
  <c r="O84" i="11"/>
  <c r="L84" i="11"/>
  <c r="AF84" i="11" s="1"/>
  <c r="BV84" i="11" s="1"/>
  <c r="F84" i="11"/>
  <c r="BQ83" i="11"/>
  <c r="AS83" i="11"/>
  <c r="AR83" i="11"/>
  <c r="AQ83" i="11"/>
  <c r="AP83" i="11"/>
  <c r="AO83" i="11"/>
  <c r="AN83" i="11"/>
  <c r="AM83" i="11"/>
  <c r="AH83" i="11"/>
  <c r="AG83" i="11"/>
  <c r="R83" i="11"/>
  <c r="O83" i="11"/>
  <c r="L83" i="11"/>
  <c r="AF83" i="11" s="1"/>
  <c r="BV83" i="11" s="1"/>
  <c r="F83" i="11"/>
  <c r="BQ82" i="11"/>
  <c r="AS82" i="11"/>
  <c r="AR82" i="11"/>
  <c r="AQ82" i="11"/>
  <c r="AP82" i="11"/>
  <c r="AO82" i="11"/>
  <c r="AN82" i="11"/>
  <c r="AM82" i="11"/>
  <c r="AH82" i="11"/>
  <c r="AG82" i="11"/>
  <c r="R82" i="11"/>
  <c r="O82" i="11"/>
  <c r="L82" i="11"/>
  <c r="AF82" i="11" s="1"/>
  <c r="BV82" i="11" s="1"/>
  <c r="F82" i="11"/>
  <c r="BQ81" i="11"/>
  <c r="AS81" i="11"/>
  <c r="AR81" i="11"/>
  <c r="AQ81" i="11"/>
  <c r="AP81" i="11"/>
  <c r="AO81" i="11"/>
  <c r="AN81" i="11"/>
  <c r="AM81" i="11"/>
  <c r="AH81" i="11"/>
  <c r="AG81" i="11"/>
  <c r="R81" i="11"/>
  <c r="O81" i="11"/>
  <c r="L81" i="11"/>
  <c r="AF81" i="11" s="1"/>
  <c r="BV81" i="11" s="1"/>
  <c r="F81" i="11"/>
  <c r="BQ80" i="11"/>
  <c r="AS80" i="11"/>
  <c r="AR80" i="11"/>
  <c r="AQ80" i="11"/>
  <c r="AP80" i="11"/>
  <c r="AO80" i="11"/>
  <c r="AN80" i="11"/>
  <c r="AM80" i="11"/>
  <c r="AH80" i="11"/>
  <c r="AG80" i="11"/>
  <c r="R80" i="11"/>
  <c r="O80" i="11"/>
  <c r="L80" i="11"/>
  <c r="AF80" i="11" s="1"/>
  <c r="F80" i="11"/>
  <c r="BQ79" i="11"/>
  <c r="AS79" i="11"/>
  <c r="AR79" i="11"/>
  <c r="AQ79" i="11"/>
  <c r="AP79" i="11"/>
  <c r="AO79" i="11"/>
  <c r="AN79" i="11"/>
  <c r="AM79" i="11"/>
  <c r="AH79" i="11"/>
  <c r="AG79" i="11"/>
  <c r="R79" i="11"/>
  <c r="O79" i="11"/>
  <c r="L79" i="11"/>
  <c r="AF79" i="11" s="1"/>
  <c r="BV79" i="11" s="1"/>
  <c r="F79" i="11"/>
  <c r="BQ78" i="11"/>
  <c r="AS78" i="11"/>
  <c r="AR78" i="11"/>
  <c r="AQ78" i="11"/>
  <c r="AP78" i="11"/>
  <c r="AO78" i="11"/>
  <c r="AN78" i="11"/>
  <c r="AM78" i="11"/>
  <c r="AH78" i="11"/>
  <c r="AG78" i="11"/>
  <c r="R78" i="11"/>
  <c r="O78" i="11"/>
  <c r="L78" i="11"/>
  <c r="AF78" i="11" s="1"/>
  <c r="BV78" i="11" s="1"/>
  <c r="F78" i="11"/>
  <c r="BQ77" i="11"/>
  <c r="AS77" i="11"/>
  <c r="AR77" i="11"/>
  <c r="AQ77" i="11"/>
  <c r="AP77" i="11"/>
  <c r="AO77" i="11"/>
  <c r="AN77" i="11"/>
  <c r="AM77" i="11"/>
  <c r="AH77" i="11"/>
  <c r="AG77" i="11"/>
  <c r="R77" i="11"/>
  <c r="O77" i="11"/>
  <c r="L77" i="11"/>
  <c r="AF77" i="11" s="1"/>
  <c r="BV77" i="11" s="1"/>
  <c r="F77" i="11"/>
  <c r="BQ76" i="11"/>
  <c r="AS76" i="11"/>
  <c r="AR76" i="11"/>
  <c r="AQ76" i="11"/>
  <c r="AP76" i="11"/>
  <c r="AO76" i="11"/>
  <c r="AN76" i="11"/>
  <c r="AM76" i="11"/>
  <c r="AH76" i="11"/>
  <c r="AG76" i="11"/>
  <c r="R76" i="11"/>
  <c r="O76" i="11"/>
  <c r="L76" i="11"/>
  <c r="AF76" i="11" s="1"/>
  <c r="F76" i="11"/>
  <c r="BQ75" i="11"/>
  <c r="AS75" i="11"/>
  <c r="AR75" i="11"/>
  <c r="AQ75" i="11"/>
  <c r="AP75" i="11"/>
  <c r="AO75" i="11"/>
  <c r="AN75" i="11"/>
  <c r="AM75" i="11"/>
  <c r="AH75" i="11"/>
  <c r="AG75" i="11"/>
  <c r="R75" i="11"/>
  <c r="O75" i="11"/>
  <c r="L75" i="11"/>
  <c r="AF75" i="11" s="1"/>
  <c r="BV75" i="11" s="1"/>
  <c r="F75" i="11"/>
  <c r="BQ74" i="11"/>
  <c r="AS74" i="11"/>
  <c r="AR74" i="11"/>
  <c r="AQ74" i="11"/>
  <c r="AP74" i="11"/>
  <c r="AO74" i="11"/>
  <c r="AN74" i="11"/>
  <c r="AM74" i="11"/>
  <c r="AH74" i="11"/>
  <c r="AG74" i="11"/>
  <c r="R74" i="11"/>
  <c r="O74" i="11"/>
  <c r="L74" i="11"/>
  <c r="AF74" i="11" s="1"/>
  <c r="BV74" i="11" s="1"/>
  <c r="F74" i="11"/>
  <c r="BQ73" i="11"/>
  <c r="AS73" i="11"/>
  <c r="AR73" i="11"/>
  <c r="AQ73" i="11"/>
  <c r="AP73" i="11"/>
  <c r="AO73" i="11"/>
  <c r="AN73" i="11"/>
  <c r="AM73" i="11"/>
  <c r="AH73" i="11"/>
  <c r="AG73" i="11"/>
  <c r="R73" i="11"/>
  <c r="O73" i="11"/>
  <c r="L73" i="11"/>
  <c r="AF73" i="11" s="1"/>
  <c r="F73" i="11"/>
  <c r="BQ72" i="11"/>
  <c r="AS72" i="11"/>
  <c r="AR72" i="11"/>
  <c r="AQ72" i="11"/>
  <c r="AP72" i="11"/>
  <c r="AO72" i="11"/>
  <c r="AN72" i="11"/>
  <c r="AM72" i="11"/>
  <c r="AH72" i="11"/>
  <c r="AG72" i="11"/>
  <c r="AJ72" i="11" s="1"/>
  <c r="BO72" i="11" s="1"/>
  <c r="R72" i="11"/>
  <c r="O72" i="11"/>
  <c r="L72" i="11"/>
  <c r="AF72" i="11" s="1"/>
  <c r="BV72" i="11" s="1"/>
  <c r="F72" i="11"/>
  <c r="BQ71" i="11"/>
  <c r="AS71" i="11"/>
  <c r="AR71" i="11"/>
  <c r="AQ71" i="11"/>
  <c r="AP71" i="11"/>
  <c r="AO71" i="11"/>
  <c r="AN71" i="11"/>
  <c r="AM71" i="11"/>
  <c r="AH71" i="11"/>
  <c r="AG71" i="11"/>
  <c r="R71" i="11"/>
  <c r="O71" i="11"/>
  <c r="L71" i="11"/>
  <c r="AF71" i="11" s="1"/>
  <c r="BV71" i="11" s="1"/>
  <c r="F71" i="11"/>
  <c r="BQ70" i="11"/>
  <c r="AS70" i="11"/>
  <c r="AR70" i="11"/>
  <c r="AQ70" i="11"/>
  <c r="AP70" i="11"/>
  <c r="AO70" i="11"/>
  <c r="AN70" i="11"/>
  <c r="AM70" i="11"/>
  <c r="AH70" i="11"/>
  <c r="AG70" i="11"/>
  <c r="R70" i="11"/>
  <c r="O70" i="11"/>
  <c r="L70" i="11"/>
  <c r="AF70" i="11" s="1"/>
  <c r="BV70" i="11" s="1"/>
  <c r="F70" i="11"/>
  <c r="BQ69" i="11"/>
  <c r="AS69" i="11"/>
  <c r="AR69" i="11"/>
  <c r="AQ69" i="11"/>
  <c r="AP69" i="11"/>
  <c r="AO69" i="11"/>
  <c r="AN69" i="11"/>
  <c r="AM69" i="11"/>
  <c r="AH69" i="11"/>
  <c r="AG69" i="11"/>
  <c r="R69" i="11"/>
  <c r="O69" i="11"/>
  <c r="L69" i="11"/>
  <c r="AF69" i="11" s="1"/>
  <c r="BV69" i="11" s="1"/>
  <c r="F69" i="11"/>
  <c r="BQ68" i="11"/>
  <c r="AS68" i="11"/>
  <c r="AR68" i="11"/>
  <c r="AQ68" i="11"/>
  <c r="AP68" i="11"/>
  <c r="AO68" i="11"/>
  <c r="AN68" i="11"/>
  <c r="AM68" i="11"/>
  <c r="AH68" i="11"/>
  <c r="AG68" i="11"/>
  <c r="R68" i="11"/>
  <c r="O68" i="11"/>
  <c r="L68" i="11"/>
  <c r="AF68" i="11" s="1"/>
  <c r="BV68" i="11" s="1"/>
  <c r="F68" i="11"/>
  <c r="BQ67" i="11"/>
  <c r="AS67" i="11"/>
  <c r="AR67" i="11"/>
  <c r="AQ67" i="11"/>
  <c r="AP67" i="11"/>
  <c r="AO67" i="11"/>
  <c r="AN67" i="11"/>
  <c r="AM67" i="11"/>
  <c r="AH67" i="11"/>
  <c r="AG67" i="11"/>
  <c r="AF67" i="11"/>
  <c r="BV67" i="11" s="1"/>
  <c r="R67" i="11"/>
  <c r="O67" i="11"/>
  <c r="L67" i="11"/>
  <c r="F67" i="11"/>
  <c r="BQ66" i="11"/>
  <c r="AS66" i="11"/>
  <c r="AR66" i="11"/>
  <c r="AQ66" i="11"/>
  <c r="AP66" i="11"/>
  <c r="AO66" i="11"/>
  <c r="AN66" i="11"/>
  <c r="AM66" i="11"/>
  <c r="AH66" i="11"/>
  <c r="AG66" i="11"/>
  <c r="R66" i="11"/>
  <c r="O66" i="11"/>
  <c r="L66" i="11"/>
  <c r="AF66" i="11" s="1"/>
  <c r="BV66" i="11" s="1"/>
  <c r="F66" i="11"/>
  <c r="BQ65" i="11"/>
  <c r="AS65" i="11"/>
  <c r="AR65" i="11"/>
  <c r="AQ65" i="11"/>
  <c r="AP65" i="11"/>
  <c r="AO65" i="11"/>
  <c r="AN65" i="11"/>
  <c r="AM65" i="11"/>
  <c r="AH65" i="11"/>
  <c r="AG65" i="11"/>
  <c r="AK65" i="11" s="1"/>
  <c r="R65" i="11"/>
  <c r="O65" i="11"/>
  <c r="L65" i="11"/>
  <c r="AF65" i="11" s="1"/>
  <c r="BV65" i="11" s="1"/>
  <c r="F65" i="11"/>
  <c r="BQ64" i="11"/>
  <c r="AS64" i="11"/>
  <c r="AR64" i="11"/>
  <c r="AQ64" i="11"/>
  <c r="AP64" i="11"/>
  <c r="AO64" i="11"/>
  <c r="AN64" i="11"/>
  <c r="AM64" i="11"/>
  <c r="AH64" i="11"/>
  <c r="AG64" i="11"/>
  <c r="R64" i="11"/>
  <c r="O64" i="11"/>
  <c r="L64" i="11"/>
  <c r="AF64" i="11" s="1"/>
  <c r="F64" i="11"/>
  <c r="BQ63" i="11"/>
  <c r="AS63" i="11"/>
  <c r="AR63" i="11"/>
  <c r="AQ63" i="11"/>
  <c r="AP63" i="11"/>
  <c r="AO63" i="11"/>
  <c r="AN63" i="11"/>
  <c r="AM63" i="11"/>
  <c r="AH63" i="11"/>
  <c r="AG63" i="11"/>
  <c r="AK63" i="11" s="1"/>
  <c r="R63" i="11"/>
  <c r="O63" i="11"/>
  <c r="L63" i="11"/>
  <c r="AF63" i="11" s="1"/>
  <c r="BV63" i="11" s="1"/>
  <c r="F63" i="11"/>
  <c r="BQ62" i="11"/>
  <c r="AS62" i="11"/>
  <c r="AR62" i="11"/>
  <c r="AQ62" i="11"/>
  <c r="AP62" i="11"/>
  <c r="AO62" i="11"/>
  <c r="AN62" i="11"/>
  <c r="AM62" i="11"/>
  <c r="AH62" i="11"/>
  <c r="AG62" i="11"/>
  <c r="R62" i="11"/>
  <c r="O62" i="11"/>
  <c r="L62" i="11"/>
  <c r="AF62" i="11" s="1"/>
  <c r="BV62" i="11" s="1"/>
  <c r="F62" i="11"/>
  <c r="BQ61" i="11"/>
  <c r="AS61" i="11"/>
  <c r="AR61" i="11"/>
  <c r="AQ61" i="11"/>
  <c r="AP61" i="11"/>
  <c r="AO61" i="11"/>
  <c r="AN61" i="11"/>
  <c r="AM61" i="11"/>
  <c r="AH61" i="11"/>
  <c r="AG61" i="11"/>
  <c r="AK61" i="11" s="1"/>
  <c r="R61" i="11"/>
  <c r="O61" i="11"/>
  <c r="L61" i="11"/>
  <c r="AF61" i="11" s="1"/>
  <c r="F61" i="11"/>
  <c r="BQ60" i="11"/>
  <c r="AS60" i="11"/>
  <c r="AR60" i="11"/>
  <c r="AQ60" i="11"/>
  <c r="AP60" i="11"/>
  <c r="AO60" i="11"/>
  <c r="AN60" i="11"/>
  <c r="AM60" i="11"/>
  <c r="AH60" i="11"/>
  <c r="AG60" i="11"/>
  <c r="R60" i="11"/>
  <c r="O60" i="11"/>
  <c r="L60" i="11"/>
  <c r="AF60" i="11" s="1"/>
  <c r="F60" i="11"/>
  <c r="BQ59" i="11"/>
  <c r="AS59" i="11"/>
  <c r="AR59" i="11"/>
  <c r="AQ59" i="11"/>
  <c r="AP59" i="11"/>
  <c r="AO59" i="11"/>
  <c r="AN59" i="11"/>
  <c r="AM59" i="11"/>
  <c r="AH59" i="11"/>
  <c r="AG59" i="11"/>
  <c r="R59" i="11"/>
  <c r="O59" i="11"/>
  <c r="L59" i="11"/>
  <c r="AF59" i="11" s="1"/>
  <c r="BV59" i="11" s="1"/>
  <c r="F59" i="11"/>
  <c r="BQ58" i="11"/>
  <c r="AS58" i="11"/>
  <c r="AR58" i="11"/>
  <c r="AQ58" i="11"/>
  <c r="AP58" i="11"/>
  <c r="AO58" i="11"/>
  <c r="AN58" i="11"/>
  <c r="AM58" i="11"/>
  <c r="AH58" i="11"/>
  <c r="AG58" i="11"/>
  <c r="R58" i="11"/>
  <c r="O58" i="11"/>
  <c r="L58" i="11"/>
  <c r="AF58" i="11" s="1"/>
  <c r="BV58" i="11" s="1"/>
  <c r="F58" i="11"/>
  <c r="BQ57" i="11"/>
  <c r="AS57" i="11"/>
  <c r="AR57" i="11"/>
  <c r="AQ57" i="11"/>
  <c r="AP57" i="11"/>
  <c r="AO57" i="11"/>
  <c r="AN57" i="11"/>
  <c r="AM57" i="11"/>
  <c r="AH57" i="11"/>
  <c r="AG57" i="11"/>
  <c r="R57" i="11"/>
  <c r="O57" i="11"/>
  <c r="L57" i="11"/>
  <c r="AF57" i="11" s="1"/>
  <c r="F57" i="11"/>
  <c r="BQ56" i="11"/>
  <c r="AS56" i="11"/>
  <c r="AR56" i="11"/>
  <c r="AQ56" i="11"/>
  <c r="AP56" i="11"/>
  <c r="AO56" i="11"/>
  <c r="AN56" i="11"/>
  <c r="AM56" i="11"/>
  <c r="AH56" i="11"/>
  <c r="AG56" i="11"/>
  <c r="R56" i="11"/>
  <c r="O56" i="11"/>
  <c r="L56" i="11"/>
  <c r="AF56" i="11" s="1"/>
  <c r="BV56" i="11" s="1"/>
  <c r="F56" i="11"/>
  <c r="BQ55" i="11"/>
  <c r="AS55" i="11"/>
  <c r="AR55" i="11"/>
  <c r="AQ55" i="11"/>
  <c r="AP55" i="11"/>
  <c r="AO55" i="11"/>
  <c r="AN55" i="11"/>
  <c r="AM55" i="11"/>
  <c r="AH55" i="11"/>
  <c r="AG55" i="11"/>
  <c r="AF55" i="11"/>
  <c r="BV55" i="11" s="1"/>
  <c r="R55" i="11"/>
  <c r="O55" i="11"/>
  <c r="L55" i="11"/>
  <c r="F55" i="11"/>
  <c r="BQ54" i="11"/>
  <c r="AS54" i="11"/>
  <c r="AR54" i="11"/>
  <c r="AQ54" i="11"/>
  <c r="AP54" i="11"/>
  <c r="AO54" i="11"/>
  <c r="AN54" i="11"/>
  <c r="AM54" i="11"/>
  <c r="AH54" i="11"/>
  <c r="AG54" i="11"/>
  <c r="R54" i="11"/>
  <c r="O54" i="11"/>
  <c r="L54" i="11"/>
  <c r="AF54" i="11" s="1"/>
  <c r="BV54" i="11" s="1"/>
  <c r="F54" i="11"/>
  <c r="BQ53" i="11"/>
  <c r="AS53" i="11"/>
  <c r="AR53" i="11"/>
  <c r="AQ53" i="11"/>
  <c r="AP53" i="11"/>
  <c r="AO53" i="11"/>
  <c r="AN53" i="11"/>
  <c r="AM53" i="11"/>
  <c r="AH53" i="11"/>
  <c r="AG53" i="11"/>
  <c r="R53" i="11"/>
  <c r="O53" i="11"/>
  <c r="L53" i="11"/>
  <c r="AF53" i="11" s="1"/>
  <c r="F53" i="11"/>
  <c r="BQ52" i="11"/>
  <c r="AS52" i="11"/>
  <c r="AR52" i="11"/>
  <c r="AQ52" i="11"/>
  <c r="AP52" i="11"/>
  <c r="AO52" i="11"/>
  <c r="AN52" i="11"/>
  <c r="AM52" i="11"/>
  <c r="AH52" i="11"/>
  <c r="AG52" i="11"/>
  <c r="R52" i="11"/>
  <c r="O52" i="11"/>
  <c r="L52" i="11"/>
  <c r="AF52" i="11" s="1"/>
  <c r="BV52" i="11" s="1"/>
  <c r="F52" i="11"/>
  <c r="BQ51" i="11"/>
  <c r="AS51" i="11"/>
  <c r="AR51" i="11"/>
  <c r="AQ51" i="11"/>
  <c r="AP51" i="11"/>
  <c r="AO51" i="11"/>
  <c r="AN51" i="11"/>
  <c r="AM51" i="11"/>
  <c r="AH51" i="11"/>
  <c r="AG51" i="11"/>
  <c r="R51" i="11"/>
  <c r="O51" i="11"/>
  <c r="L51" i="11"/>
  <c r="AF51" i="11" s="1"/>
  <c r="BV51" i="11" s="1"/>
  <c r="F51" i="11"/>
  <c r="BQ50" i="11"/>
  <c r="AS50" i="11"/>
  <c r="AR50" i="11"/>
  <c r="AQ50" i="11"/>
  <c r="AP50" i="11"/>
  <c r="AO50" i="11"/>
  <c r="AN50" i="11"/>
  <c r="AM50" i="11"/>
  <c r="AH50" i="11"/>
  <c r="AG50" i="11"/>
  <c r="R50" i="11"/>
  <c r="O50" i="11"/>
  <c r="L50" i="11"/>
  <c r="AF50" i="11" s="1"/>
  <c r="BV50" i="11" s="1"/>
  <c r="F50" i="11"/>
  <c r="BQ49" i="11"/>
  <c r="AS49" i="11"/>
  <c r="AR49" i="11"/>
  <c r="AQ49" i="11"/>
  <c r="AP49" i="11"/>
  <c r="AO49" i="11"/>
  <c r="AN49" i="11"/>
  <c r="AM49" i="11"/>
  <c r="AH49" i="11"/>
  <c r="AG49" i="11"/>
  <c r="R49" i="11"/>
  <c r="O49" i="11"/>
  <c r="L49" i="11"/>
  <c r="AF49" i="11" s="1"/>
  <c r="BV49" i="11" s="1"/>
  <c r="F49" i="11"/>
  <c r="BQ48" i="11"/>
  <c r="AS48" i="11"/>
  <c r="AR48" i="11"/>
  <c r="AQ48" i="11"/>
  <c r="AP48" i="11"/>
  <c r="AO48" i="11"/>
  <c r="AN48" i="11"/>
  <c r="AM48" i="11"/>
  <c r="AH48" i="11"/>
  <c r="AG48" i="11"/>
  <c r="R48" i="11"/>
  <c r="O48" i="11"/>
  <c r="L48" i="11"/>
  <c r="AF48" i="11" s="1"/>
  <c r="BV48" i="11" s="1"/>
  <c r="F48" i="11"/>
  <c r="BQ47" i="11"/>
  <c r="AS47" i="11"/>
  <c r="AR47" i="11"/>
  <c r="AQ47" i="11"/>
  <c r="AP47" i="11"/>
  <c r="AO47" i="11"/>
  <c r="AN47" i="11"/>
  <c r="AM47" i="11"/>
  <c r="AH47" i="11"/>
  <c r="AG47" i="11"/>
  <c r="R47" i="11"/>
  <c r="O47" i="11"/>
  <c r="L47" i="11"/>
  <c r="AF47" i="11" s="1"/>
  <c r="BV47" i="11" s="1"/>
  <c r="F47" i="11"/>
  <c r="BQ46" i="11"/>
  <c r="AS46" i="11"/>
  <c r="AR46" i="11"/>
  <c r="AQ46" i="11"/>
  <c r="AP46" i="11"/>
  <c r="AO46" i="11"/>
  <c r="AN46" i="11"/>
  <c r="AM46" i="11"/>
  <c r="AH46" i="11"/>
  <c r="AG46" i="11"/>
  <c r="R46" i="11"/>
  <c r="O46" i="11"/>
  <c r="L46" i="11"/>
  <c r="AF46" i="11" s="1"/>
  <c r="BV46" i="11" s="1"/>
  <c r="F46" i="11"/>
  <c r="BQ45" i="11"/>
  <c r="AS45" i="11"/>
  <c r="AR45" i="11"/>
  <c r="AQ45" i="11"/>
  <c r="AP45" i="11"/>
  <c r="AO45" i="11"/>
  <c r="AN45" i="11"/>
  <c r="AM45" i="11"/>
  <c r="AH45" i="11"/>
  <c r="AG45" i="11"/>
  <c r="AK45" i="11" s="1"/>
  <c r="R45" i="11"/>
  <c r="O45" i="11"/>
  <c r="L45" i="11"/>
  <c r="AF45" i="11" s="1"/>
  <c r="BV45" i="11" s="1"/>
  <c r="F45" i="11"/>
  <c r="BQ44" i="11"/>
  <c r="AS44" i="11"/>
  <c r="AR44" i="11"/>
  <c r="AQ44" i="11"/>
  <c r="AP44" i="11"/>
  <c r="AO44" i="11"/>
  <c r="AN44" i="11"/>
  <c r="AM44" i="11"/>
  <c r="AH44" i="11"/>
  <c r="AG44" i="11"/>
  <c r="R44" i="11"/>
  <c r="O44" i="11"/>
  <c r="L44" i="11"/>
  <c r="AF44" i="11" s="1"/>
  <c r="F44" i="11"/>
  <c r="BQ43" i="11"/>
  <c r="AS43" i="11"/>
  <c r="AR43" i="11"/>
  <c r="AQ43" i="11"/>
  <c r="AP43" i="11"/>
  <c r="AO43" i="11"/>
  <c r="AN43" i="11"/>
  <c r="AM43" i="11"/>
  <c r="AH43" i="11"/>
  <c r="AG43" i="11"/>
  <c r="R43" i="11"/>
  <c r="O43" i="11"/>
  <c r="L43" i="11"/>
  <c r="AF43" i="11" s="1"/>
  <c r="BV43" i="11" s="1"/>
  <c r="F43" i="11"/>
  <c r="BQ42" i="11"/>
  <c r="AS42" i="11"/>
  <c r="AR42" i="11"/>
  <c r="AQ42" i="11"/>
  <c r="AP42" i="11"/>
  <c r="AO42" i="11"/>
  <c r="AN42" i="11"/>
  <c r="AM42" i="11"/>
  <c r="AH42" i="11"/>
  <c r="AG42" i="11"/>
  <c r="R42" i="11"/>
  <c r="O42" i="11"/>
  <c r="L42" i="11"/>
  <c r="AF42" i="11" s="1"/>
  <c r="BV42" i="11" s="1"/>
  <c r="F42" i="11"/>
  <c r="BQ41" i="11"/>
  <c r="AS41" i="11"/>
  <c r="AR41" i="11"/>
  <c r="AQ41" i="11"/>
  <c r="AP41" i="11"/>
  <c r="AO41" i="11"/>
  <c r="AN41" i="11"/>
  <c r="AM41" i="11"/>
  <c r="AH41" i="11"/>
  <c r="AG41" i="11"/>
  <c r="R41" i="11"/>
  <c r="O41" i="11"/>
  <c r="L41" i="11"/>
  <c r="AF41" i="11" s="1"/>
  <c r="F41" i="11"/>
  <c r="BQ40" i="11"/>
  <c r="AS40" i="11"/>
  <c r="AR40" i="11"/>
  <c r="AQ40" i="11"/>
  <c r="AP40" i="11"/>
  <c r="AO40" i="11"/>
  <c r="AN40" i="11"/>
  <c r="AM40" i="11"/>
  <c r="AH40" i="11"/>
  <c r="AG40" i="11"/>
  <c r="AJ40" i="11" s="1"/>
  <c r="R40" i="11"/>
  <c r="O40" i="11"/>
  <c r="L40" i="11"/>
  <c r="AF40" i="11" s="1"/>
  <c r="F40" i="11"/>
  <c r="BQ39" i="11"/>
  <c r="AS39" i="11"/>
  <c r="AR39" i="11"/>
  <c r="AQ39" i="11"/>
  <c r="AP39" i="11"/>
  <c r="AO39" i="11"/>
  <c r="AN39" i="11"/>
  <c r="AM39" i="11"/>
  <c r="AH39" i="11"/>
  <c r="AG39" i="11"/>
  <c r="R39" i="11"/>
  <c r="O39" i="11"/>
  <c r="L39" i="11"/>
  <c r="AF39" i="11" s="1"/>
  <c r="BV39" i="11" s="1"/>
  <c r="F39" i="11"/>
  <c r="BQ38" i="11"/>
  <c r="AS38" i="11"/>
  <c r="AR38" i="11"/>
  <c r="AQ38" i="11"/>
  <c r="AP38" i="11"/>
  <c r="AO38" i="11"/>
  <c r="AN38" i="11"/>
  <c r="AM38" i="11"/>
  <c r="AH38" i="11"/>
  <c r="AG38" i="11"/>
  <c r="R38" i="11"/>
  <c r="O38" i="11"/>
  <c r="L38" i="11"/>
  <c r="AF38" i="11" s="1"/>
  <c r="BV38" i="11" s="1"/>
  <c r="F38" i="11"/>
  <c r="BQ37" i="11"/>
  <c r="AS37" i="11"/>
  <c r="AR37" i="11"/>
  <c r="AQ37" i="11"/>
  <c r="AP37" i="11"/>
  <c r="AO37" i="11"/>
  <c r="AN37" i="11"/>
  <c r="AM37" i="11"/>
  <c r="AH37" i="11"/>
  <c r="AG37" i="11"/>
  <c r="AI37" i="11" s="1"/>
  <c r="R37" i="11"/>
  <c r="O37" i="11"/>
  <c r="L37" i="11"/>
  <c r="AF37" i="11" s="1"/>
  <c r="BV37" i="11" s="1"/>
  <c r="F37" i="11"/>
  <c r="BQ36" i="11"/>
  <c r="AS36" i="11"/>
  <c r="AR36" i="11"/>
  <c r="AQ36" i="11"/>
  <c r="AP36" i="11"/>
  <c r="AO36" i="11"/>
  <c r="AN36" i="11"/>
  <c r="AM36" i="11"/>
  <c r="AH36" i="11"/>
  <c r="AG36" i="11"/>
  <c r="R36" i="11"/>
  <c r="O36" i="11"/>
  <c r="L36" i="11"/>
  <c r="AF36" i="11" s="1"/>
  <c r="BV36" i="11" s="1"/>
  <c r="F36" i="11"/>
  <c r="BQ35" i="11"/>
  <c r="AS35" i="11"/>
  <c r="AR35" i="11"/>
  <c r="AQ35" i="11"/>
  <c r="AP35" i="11"/>
  <c r="AO35" i="11"/>
  <c r="BS35" i="11" s="1"/>
  <c r="AN35" i="11"/>
  <c r="AM35" i="11"/>
  <c r="AH35" i="11"/>
  <c r="AG35" i="11"/>
  <c r="R35" i="11"/>
  <c r="O35" i="11"/>
  <c r="L35" i="11"/>
  <c r="AF35" i="11" s="1"/>
  <c r="BV35" i="11" s="1"/>
  <c r="F35" i="11"/>
  <c r="BQ34" i="11"/>
  <c r="AS34" i="11"/>
  <c r="AR34" i="11"/>
  <c r="AQ34" i="11"/>
  <c r="AP34" i="11"/>
  <c r="AO34" i="11"/>
  <c r="AN34" i="11"/>
  <c r="AM34" i="11"/>
  <c r="AH34" i="11"/>
  <c r="AG34" i="11"/>
  <c r="R34" i="11"/>
  <c r="O34" i="11"/>
  <c r="L34" i="11"/>
  <c r="AF34" i="11" s="1"/>
  <c r="BV34" i="11" s="1"/>
  <c r="F34" i="11"/>
  <c r="BQ33" i="11"/>
  <c r="AS33" i="11"/>
  <c r="AR33" i="11"/>
  <c r="AQ33" i="11"/>
  <c r="AP33" i="11"/>
  <c r="AO33" i="11"/>
  <c r="AN33" i="11"/>
  <c r="AM33" i="11"/>
  <c r="AH33" i="11"/>
  <c r="AG33" i="11"/>
  <c r="R33" i="11"/>
  <c r="O33" i="11"/>
  <c r="L33" i="11"/>
  <c r="AF33" i="11" s="1"/>
  <c r="BV33" i="11" s="1"/>
  <c r="F33" i="11"/>
  <c r="BQ32" i="11"/>
  <c r="AS32" i="11"/>
  <c r="AR32" i="11"/>
  <c r="AQ32" i="11"/>
  <c r="AP32" i="11"/>
  <c r="AO32" i="11"/>
  <c r="AN32" i="11"/>
  <c r="AM32" i="11"/>
  <c r="AH32" i="11"/>
  <c r="AG32" i="11"/>
  <c r="R32" i="11"/>
  <c r="O32" i="11"/>
  <c r="L32" i="11"/>
  <c r="AF32" i="11" s="1"/>
  <c r="F32" i="11"/>
  <c r="BQ31" i="11"/>
  <c r="AS31" i="11"/>
  <c r="AR31" i="11"/>
  <c r="AQ31" i="11"/>
  <c r="AP31" i="11"/>
  <c r="AO31" i="11"/>
  <c r="AN31" i="11"/>
  <c r="AM31" i="11"/>
  <c r="AH31" i="11"/>
  <c r="AG31" i="11"/>
  <c r="R31" i="11"/>
  <c r="O31" i="11"/>
  <c r="L31" i="11"/>
  <c r="AF31" i="11" s="1"/>
  <c r="BV31" i="11" s="1"/>
  <c r="F31" i="11"/>
  <c r="BQ30" i="11"/>
  <c r="AS30" i="11"/>
  <c r="AR30" i="11"/>
  <c r="AQ30" i="11"/>
  <c r="AP30" i="11"/>
  <c r="AO30" i="11"/>
  <c r="AN30" i="11"/>
  <c r="AM30" i="11"/>
  <c r="AH30" i="11"/>
  <c r="AG30" i="11"/>
  <c r="R30" i="11"/>
  <c r="O30" i="11"/>
  <c r="L30" i="11"/>
  <c r="AF30" i="11" s="1"/>
  <c r="BV30" i="11" s="1"/>
  <c r="F30" i="11"/>
  <c r="BQ29" i="11"/>
  <c r="AS29" i="11"/>
  <c r="AR29" i="11"/>
  <c r="AQ29" i="11"/>
  <c r="AP29" i="11"/>
  <c r="AO29" i="11"/>
  <c r="AN29" i="11"/>
  <c r="AM29" i="11"/>
  <c r="AH29" i="11"/>
  <c r="AG29" i="11"/>
  <c r="R29" i="11"/>
  <c r="O29" i="11"/>
  <c r="L29" i="11"/>
  <c r="AF29" i="11" s="1"/>
  <c r="F29" i="11"/>
  <c r="BQ28" i="11"/>
  <c r="AS28" i="11"/>
  <c r="AR28" i="11"/>
  <c r="AQ28" i="11"/>
  <c r="AP28" i="11"/>
  <c r="AO28" i="11"/>
  <c r="AN28" i="11"/>
  <c r="AM28" i="11"/>
  <c r="AH28" i="11"/>
  <c r="AG28" i="11"/>
  <c r="R28" i="11"/>
  <c r="O28" i="11"/>
  <c r="L28" i="11"/>
  <c r="AF28" i="11" s="1"/>
  <c r="F28" i="11"/>
  <c r="BQ27" i="11"/>
  <c r="AS27" i="11"/>
  <c r="AR27" i="11"/>
  <c r="AQ27" i="11"/>
  <c r="AP27" i="11"/>
  <c r="AO27" i="11"/>
  <c r="AN27" i="11"/>
  <c r="AM27" i="11"/>
  <c r="AH27" i="11"/>
  <c r="AG27" i="11"/>
  <c r="R27" i="11"/>
  <c r="O27" i="11"/>
  <c r="L27" i="11"/>
  <c r="AF27" i="11" s="1"/>
  <c r="BV27" i="11" s="1"/>
  <c r="F27" i="11"/>
  <c r="BQ26" i="11"/>
  <c r="AS26" i="11"/>
  <c r="AR26" i="11"/>
  <c r="AQ26" i="11"/>
  <c r="AP26" i="11"/>
  <c r="AO26" i="11"/>
  <c r="AN26" i="11"/>
  <c r="AM26" i="11"/>
  <c r="AH26" i="11"/>
  <c r="AG26" i="11"/>
  <c r="R26" i="11"/>
  <c r="O26" i="11"/>
  <c r="L26" i="11"/>
  <c r="AF26" i="11" s="1"/>
  <c r="BV26" i="11" s="1"/>
  <c r="F26" i="11"/>
  <c r="BQ25" i="11"/>
  <c r="AS25" i="11"/>
  <c r="AR25" i="11"/>
  <c r="AQ25" i="11"/>
  <c r="AP25" i="11"/>
  <c r="AO25" i="11"/>
  <c r="AN25" i="11"/>
  <c r="AM25" i="11"/>
  <c r="AH25" i="11"/>
  <c r="AG25" i="11"/>
  <c r="AI25" i="11" s="1"/>
  <c r="R25" i="11"/>
  <c r="O25" i="11"/>
  <c r="L25" i="11"/>
  <c r="AF25" i="11" s="1"/>
  <c r="F25" i="11"/>
  <c r="BQ24" i="11"/>
  <c r="AS24" i="11"/>
  <c r="AR24" i="11"/>
  <c r="AQ24" i="11"/>
  <c r="AP24" i="11"/>
  <c r="AO24" i="11"/>
  <c r="AN24" i="11"/>
  <c r="AM24" i="11"/>
  <c r="AH24" i="11"/>
  <c r="AG24" i="11"/>
  <c r="AF24" i="11"/>
  <c r="BV24" i="11" s="1"/>
  <c r="R24" i="11"/>
  <c r="O24" i="11"/>
  <c r="L24" i="11"/>
  <c r="F24" i="11"/>
  <c r="BQ23" i="11"/>
  <c r="AS23" i="11"/>
  <c r="AR23" i="11"/>
  <c r="AQ23" i="11"/>
  <c r="AP23" i="11"/>
  <c r="AO23" i="11"/>
  <c r="AN23" i="11"/>
  <c r="AM23" i="11"/>
  <c r="AH23" i="11"/>
  <c r="AG23" i="11"/>
  <c r="R23" i="11"/>
  <c r="O23" i="11"/>
  <c r="L23" i="11"/>
  <c r="AF23" i="11" s="1"/>
  <c r="BV23" i="11" s="1"/>
  <c r="F23" i="11"/>
  <c r="BQ22" i="11"/>
  <c r="AS22" i="11"/>
  <c r="AR22" i="11"/>
  <c r="AQ22" i="11"/>
  <c r="AP22" i="11"/>
  <c r="AO22" i="11"/>
  <c r="AN22" i="11"/>
  <c r="AM22" i="11"/>
  <c r="AH22" i="11"/>
  <c r="AG22" i="11"/>
  <c r="R22" i="11"/>
  <c r="O22" i="11"/>
  <c r="L22" i="11"/>
  <c r="AF22" i="11" s="1"/>
  <c r="BV22" i="11" s="1"/>
  <c r="F22" i="11"/>
  <c r="BQ21" i="11"/>
  <c r="AS21" i="11"/>
  <c r="AR21" i="11"/>
  <c r="AQ21" i="11"/>
  <c r="AP21" i="11"/>
  <c r="AO21" i="11"/>
  <c r="AN21" i="11"/>
  <c r="AM21" i="11"/>
  <c r="AH21" i="11"/>
  <c r="AG21" i="11"/>
  <c r="R21" i="11"/>
  <c r="O21" i="11"/>
  <c r="L21" i="11"/>
  <c r="AF21" i="11" s="1"/>
  <c r="BV21" i="11" s="1"/>
  <c r="F21" i="11"/>
  <c r="BQ20" i="11"/>
  <c r="AS20" i="11"/>
  <c r="AR20" i="11"/>
  <c r="AQ20" i="11"/>
  <c r="AP20" i="11"/>
  <c r="AO20" i="11"/>
  <c r="AN20" i="11"/>
  <c r="AM20" i="11"/>
  <c r="AH20" i="11"/>
  <c r="AG20" i="11"/>
  <c r="R20" i="11"/>
  <c r="O20" i="11"/>
  <c r="L20" i="11"/>
  <c r="AF20" i="11" s="1"/>
  <c r="BV20" i="11" s="1"/>
  <c r="F20" i="11"/>
  <c r="BQ19" i="11"/>
  <c r="AS19" i="11"/>
  <c r="AR19" i="11"/>
  <c r="AQ19" i="11"/>
  <c r="AP19" i="11"/>
  <c r="AO19" i="11"/>
  <c r="AN19" i="11"/>
  <c r="AM19" i="11"/>
  <c r="AH19" i="11"/>
  <c r="AG19" i="11"/>
  <c r="R19" i="11"/>
  <c r="O19" i="11"/>
  <c r="L19" i="11"/>
  <c r="AF19" i="11" s="1"/>
  <c r="BV19" i="11" s="1"/>
  <c r="F19" i="11"/>
  <c r="BQ18" i="11"/>
  <c r="AS18" i="11"/>
  <c r="AR18" i="11"/>
  <c r="AQ18" i="11"/>
  <c r="AP18" i="11"/>
  <c r="AO18" i="11"/>
  <c r="AN18" i="11"/>
  <c r="AM18" i="11"/>
  <c r="AH18" i="11"/>
  <c r="AG18" i="11"/>
  <c r="R18" i="11"/>
  <c r="O18" i="11"/>
  <c r="L18" i="11"/>
  <c r="AF18" i="11" s="1"/>
  <c r="BV18" i="11" s="1"/>
  <c r="F18" i="11"/>
  <c r="BQ17" i="11"/>
  <c r="AS17" i="11"/>
  <c r="AR17" i="11"/>
  <c r="AQ17" i="11"/>
  <c r="AP17" i="11"/>
  <c r="AO17" i="11"/>
  <c r="AN17" i="11"/>
  <c r="AM17" i="11"/>
  <c r="AH17" i="11"/>
  <c r="AG17" i="11"/>
  <c r="R17" i="11"/>
  <c r="O17" i="11"/>
  <c r="L17" i="11"/>
  <c r="AF17" i="11" s="1"/>
  <c r="BV17" i="11" s="1"/>
  <c r="F17" i="11"/>
  <c r="BQ16" i="11"/>
  <c r="AS16" i="11"/>
  <c r="AR16" i="11"/>
  <c r="AQ16" i="11"/>
  <c r="AP16" i="11"/>
  <c r="AO16" i="11"/>
  <c r="AN16" i="11"/>
  <c r="AM16" i="11"/>
  <c r="AH16" i="11"/>
  <c r="AG16" i="11"/>
  <c r="AI16" i="11" s="1"/>
  <c r="R16" i="11"/>
  <c r="O16" i="11"/>
  <c r="L16" i="11"/>
  <c r="AF16" i="11" s="1"/>
  <c r="F16" i="11"/>
  <c r="BQ15" i="11"/>
  <c r="AS15" i="11"/>
  <c r="AR15" i="11"/>
  <c r="AQ15" i="11"/>
  <c r="AP15" i="11"/>
  <c r="AO15" i="11"/>
  <c r="AN15" i="11"/>
  <c r="AM15" i="11"/>
  <c r="AH15" i="11"/>
  <c r="AG15" i="11"/>
  <c r="R15" i="11"/>
  <c r="O15" i="11"/>
  <c r="L15" i="11"/>
  <c r="AF15" i="11" s="1"/>
  <c r="BV15" i="11" s="1"/>
  <c r="F15" i="11"/>
  <c r="BQ14" i="11"/>
  <c r="AS14" i="11"/>
  <c r="AR14" i="11"/>
  <c r="AQ14" i="11"/>
  <c r="AP14" i="11"/>
  <c r="AO14" i="11"/>
  <c r="AN14" i="11"/>
  <c r="AM14" i="11"/>
  <c r="AH14" i="11"/>
  <c r="AG14" i="11"/>
  <c r="R14" i="11"/>
  <c r="O14" i="11"/>
  <c r="L14" i="11"/>
  <c r="AF14" i="11" s="1"/>
  <c r="BV14" i="11" s="1"/>
  <c r="F14" i="11"/>
  <c r="BQ13" i="11"/>
  <c r="AS13" i="11"/>
  <c r="AR13" i="11"/>
  <c r="AQ13" i="11"/>
  <c r="AP13" i="11"/>
  <c r="AO13" i="11"/>
  <c r="AN13" i="11"/>
  <c r="AM13" i="11"/>
  <c r="AH13" i="11"/>
  <c r="AG13" i="11"/>
  <c r="R13" i="11"/>
  <c r="O13" i="11"/>
  <c r="L13" i="11"/>
  <c r="AF13" i="11" s="1"/>
  <c r="BV13" i="11" s="1"/>
  <c r="F13" i="11"/>
  <c r="BQ12" i="11"/>
  <c r="AS12" i="11"/>
  <c r="AR12" i="11"/>
  <c r="AQ12" i="11"/>
  <c r="AP12" i="11"/>
  <c r="AO12" i="11"/>
  <c r="AN12" i="11"/>
  <c r="AM12" i="11"/>
  <c r="AH12" i="11"/>
  <c r="AG12" i="11"/>
  <c r="AF12" i="11"/>
  <c r="BV12" i="11" s="1"/>
  <c r="R12" i="11"/>
  <c r="O12" i="11"/>
  <c r="L12" i="11"/>
  <c r="F12" i="11"/>
  <c r="BQ11" i="11"/>
  <c r="AS11" i="11"/>
  <c r="AR11" i="11"/>
  <c r="AQ11" i="11"/>
  <c r="AP11" i="11"/>
  <c r="AO11" i="11"/>
  <c r="AN11" i="11"/>
  <c r="AM11" i="11"/>
  <c r="AH11" i="11"/>
  <c r="AG11" i="11"/>
  <c r="R11" i="11"/>
  <c r="O11" i="11"/>
  <c r="L11" i="11"/>
  <c r="AF11" i="11" s="1"/>
  <c r="BV11" i="11" s="1"/>
  <c r="F11" i="11"/>
  <c r="BQ10" i="11"/>
  <c r="AS10" i="11"/>
  <c r="AR10" i="11"/>
  <c r="AQ10" i="11"/>
  <c r="AP10" i="11"/>
  <c r="AO10" i="11"/>
  <c r="AN10" i="11"/>
  <c r="AM10" i="11"/>
  <c r="AH10" i="11"/>
  <c r="AG10" i="11"/>
  <c r="AL10" i="11" s="1"/>
  <c r="R10" i="11"/>
  <c r="O10" i="11"/>
  <c r="L10" i="11"/>
  <c r="AF10" i="11" s="1"/>
  <c r="BV10" i="11" s="1"/>
  <c r="F10" i="11"/>
  <c r="BQ9" i="11"/>
  <c r="AS9" i="11"/>
  <c r="AR9" i="11"/>
  <c r="AQ9" i="11"/>
  <c r="AP9" i="11"/>
  <c r="AO9" i="11"/>
  <c r="AN9" i="11"/>
  <c r="AM9" i="11"/>
  <c r="AH9" i="11"/>
  <c r="AG9" i="11"/>
  <c r="R9" i="11"/>
  <c r="O9" i="11"/>
  <c r="L9" i="11"/>
  <c r="AF9" i="11" s="1"/>
  <c r="BV9" i="11" s="1"/>
  <c r="F9" i="11"/>
  <c r="BQ8" i="11"/>
  <c r="AS8" i="11"/>
  <c r="AR8" i="11"/>
  <c r="AQ8" i="11"/>
  <c r="AP8" i="11"/>
  <c r="AO8" i="11"/>
  <c r="AN8" i="11"/>
  <c r="AM8" i="11"/>
  <c r="AH8" i="11"/>
  <c r="AG8" i="11"/>
  <c r="AI8" i="11" s="1"/>
  <c r="R8" i="11"/>
  <c r="O8" i="11"/>
  <c r="L8" i="11"/>
  <c r="AF8" i="11" s="1"/>
  <c r="BV8" i="11" s="1"/>
  <c r="F8" i="11"/>
  <c r="BQ7" i="11"/>
  <c r="AS7" i="11"/>
  <c r="AR7" i="11"/>
  <c r="AQ7" i="11"/>
  <c r="AP7" i="11"/>
  <c r="AO7" i="11"/>
  <c r="AN7" i="11"/>
  <c r="AM7" i="11"/>
  <c r="AH7" i="11"/>
  <c r="AG7" i="11"/>
  <c r="R7" i="11"/>
  <c r="O7" i="11"/>
  <c r="L7" i="11"/>
  <c r="AF7" i="11" s="1"/>
  <c r="BV7" i="11" s="1"/>
  <c r="F7" i="11"/>
  <c r="BQ6" i="11"/>
  <c r="AS6" i="11"/>
  <c r="AR6" i="11"/>
  <c r="AQ6" i="11"/>
  <c r="AP6" i="11"/>
  <c r="AO6" i="11"/>
  <c r="AN6" i="11"/>
  <c r="AM6" i="11"/>
  <c r="AH6" i="11"/>
  <c r="AG6" i="11"/>
  <c r="R6" i="11"/>
  <c r="O6" i="11"/>
  <c r="L6" i="11"/>
  <c r="F6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V5" i="11"/>
  <c r="U5" i="11"/>
  <c r="T5" i="11"/>
  <c r="S5" i="11"/>
  <c r="Q5" i="11"/>
  <c r="P5" i="11"/>
  <c r="N5" i="11"/>
  <c r="M5" i="11"/>
  <c r="K5" i="11"/>
  <c r="J5" i="11"/>
  <c r="H5" i="11"/>
  <c r="G5" i="11"/>
  <c r="E5" i="11"/>
  <c r="D5" i="11"/>
  <c r="C5" i="11"/>
  <c r="Y4" i="11"/>
  <c r="AB4" i="11"/>
  <c r="AE4" i="11"/>
  <c r="AA4" i="11"/>
  <c r="Z4" i="11"/>
  <c r="AD4" i="11"/>
  <c r="AC4" i="11"/>
  <c r="BS105" i="11" l="1"/>
  <c r="AJ160" i="11"/>
  <c r="AE213" i="11"/>
  <c r="BN213" i="11" s="1"/>
  <c r="BP63" i="11"/>
  <c r="AJ68" i="11"/>
  <c r="AL103" i="11"/>
  <c r="AK15" i="11"/>
  <c r="BS48" i="11"/>
  <c r="AK71" i="11"/>
  <c r="BP71" i="11" s="1"/>
  <c r="BS89" i="11"/>
  <c r="AK91" i="11"/>
  <c r="BP91" i="11" s="1"/>
  <c r="AL93" i="11"/>
  <c r="BN93" i="11" s="1"/>
  <c r="AL173" i="11"/>
  <c r="BS176" i="11"/>
  <c r="AE190" i="11"/>
  <c r="AJ29" i="11"/>
  <c r="AJ41" i="11"/>
  <c r="BS47" i="11"/>
  <c r="BP65" i="11"/>
  <c r="AK79" i="11"/>
  <c r="BP79" i="11" s="1"/>
  <c r="BP104" i="11"/>
  <c r="AK155" i="11"/>
  <c r="BP155" i="11" s="1"/>
  <c r="AJ32" i="11"/>
  <c r="BO32" i="11" s="1"/>
  <c r="AL146" i="11"/>
  <c r="BS148" i="11"/>
  <c r="BS8" i="11"/>
  <c r="AL64" i="11"/>
  <c r="BS92" i="11"/>
  <c r="BS106" i="11"/>
  <c r="AI128" i="11"/>
  <c r="AI149" i="11"/>
  <c r="AK153" i="11"/>
  <c r="AA179" i="11"/>
  <c r="AJ35" i="11"/>
  <c r="BO35" i="11" s="1"/>
  <c r="AJ47" i="11"/>
  <c r="BO47" i="11" s="1"/>
  <c r="BS70" i="11"/>
  <c r="AL144" i="11"/>
  <c r="BS104" i="11"/>
  <c r="AL169" i="11"/>
  <c r="AK17" i="11"/>
  <c r="BP17" i="11" s="1"/>
  <c r="BS24" i="11"/>
  <c r="BS36" i="11"/>
  <c r="AL38" i="11"/>
  <c r="AK46" i="11"/>
  <c r="BP46" i="11" s="1"/>
  <c r="AL97" i="11"/>
  <c r="AI101" i="11"/>
  <c r="AL114" i="11"/>
  <c r="AK139" i="11"/>
  <c r="AL24" i="11"/>
  <c r="AJ25" i="11"/>
  <c r="BO25" i="11" s="1"/>
  <c r="AL29" i="11"/>
  <c r="AJ31" i="11"/>
  <c r="AI36" i="11"/>
  <c r="AL41" i="11"/>
  <c r="AJ43" i="11"/>
  <c r="BS50" i="11"/>
  <c r="AL52" i="11"/>
  <c r="AJ60" i="11"/>
  <c r="BS68" i="11"/>
  <c r="AL70" i="11"/>
  <c r="AJ76" i="11"/>
  <c r="BS78" i="11"/>
  <c r="AK82" i="11"/>
  <c r="BP82" i="11" s="1"/>
  <c r="BS85" i="11"/>
  <c r="AK87" i="11"/>
  <c r="BP87" i="11" s="1"/>
  <c r="AK92" i="11"/>
  <c r="BP92" i="11" s="1"/>
  <c r="AJ93" i="11"/>
  <c r="BO93" i="11" s="1"/>
  <c r="Z182" i="11"/>
  <c r="Z183" i="11"/>
  <c r="BS7" i="11"/>
  <c r="AJ114" i="11"/>
  <c r="AK118" i="11"/>
  <c r="BP118" i="11" s="1"/>
  <c r="AJ125" i="11"/>
  <c r="BO125" i="11" s="1"/>
  <c r="AK137" i="11"/>
  <c r="BP137" i="11" s="1"/>
  <c r="AL156" i="11"/>
  <c r="AL158" i="11"/>
  <c r="I5" i="11"/>
  <c r="AC203" i="11"/>
  <c r="AK206" i="11"/>
  <c r="BP206" i="11" s="1"/>
  <c r="AL209" i="11"/>
  <c r="AK7" i="11"/>
  <c r="BP7" i="11" s="1"/>
  <c r="BS12" i="11"/>
  <c r="BS16" i="11"/>
  <c r="BS20" i="11"/>
  <c r="AL22" i="11"/>
  <c r="BS22" i="11"/>
  <c r="AL26" i="11"/>
  <c r="AL32" i="11"/>
  <c r="AI44" i="11"/>
  <c r="BS44" i="11"/>
  <c r="AK47" i="11"/>
  <c r="BP47" i="11" s="1"/>
  <c r="BS52" i="11"/>
  <c r="AL56" i="11"/>
  <c r="AK67" i="11"/>
  <c r="BP67" i="11" s="1"/>
  <c r="AK70" i="11"/>
  <c r="BP70" i="11" s="1"/>
  <c r="AI72" i="11"/>
  <c r="AJ73" i="11"/>
  <c r="BO73" i="11" s="1"/>
  <c r="AJ104" i="11"/>
  <c r="BO104" i="11" s="1"/>
  <c r="BS144" i="11"/>
  <c r="BS152" i="11"/>
  <c r="BS207" i="11"/>
  <c r="BS37" i="11"/>
  <c r="BS39" i="11"/>
  <c r="BS64" i="11"/>
  <c r="BS88" i="11"/>
  <c r="AI117" i="11"/>
  <c r="BN117" i="11" s="1"/>
  <c r="BS117" i="11"/>
  <c r="AI136" i="11"/>
  <c r="AJ139" i="11"/>
  <c r="AK141" i="11"/>
  <c r="AI161" i="11"/>
  <c r="BS161" i="11"/>
  <c r="BS171" i="11"/>
  <c r="AI173" i="11"/>
  <c r="BN173" i="11" s="1"/>
  <c r="AC189" i="11"/>
  <c r="BO189" i="11" s="1"/>
  <c r="AI212" i="11"/>
  <c r="AJ44" i="11"/>
  <c r="BP45" i="11"/>
  <c r="AL53" i="11"/>
  <c r="BN53" i="11" s="1"/>
  <c r="BS67" i="11"/>
  <c r="BS75" i="11"/>
  <c r="BP88" i="11"/>
  <c r="AJ101" i="11"/>
  <c r="BO101" i="11" s="1"/>
  <c r="AK102" i="11"/>
  <c r="AL130" i="11"/>
  <c r="AK131" i="11"/>
  <c r="BP131" i="11" s="1"/>
  <c r="AL132" i="11"/>
  <c r="AK143" i="11"/>
  <c r="BP143" i="11" s="1"/>
  <c r="BS147" i="11"/>
  <c r="AL160" i="11"/>
  <c r="AJ161" i="11"/>
  <c r="AD185" i="11"/>
  <c r="BP185" i="11" s="1"/>
  <c r="Y213" i="11"/>
  <c r="BS18" i="11"/>
  <c r="BS19" i="11"/>
  <c r="AJ28" i="11"/>
  <c r="AJ33" i="11"/>
  <c r="BO33" i="11" s="1"/>
  <c r="AI64" i="11"/>
  <c r="BS76" i="11"/>
  <c r="BS90" i="11"/>
  <c r="BS96" i="11"/>
  <c r="AJ100" i="11"/>
  <c r="BO100" i="11" s="1"/>
  <c r="BS115" i="11"/>
  <c r="BS116" i="11"/>
  <c r="AJ136" i="11"/>
  <c r="BO136" i="11" s="1"/>
  <c r="BS140" i="11"/>
  <c r="Z197" i="11"/>
  <c r="AJ7" i="11"/>
  <c r="BS23" i="11"/>
  <c r="AK43" i="11"/>
  <c r="AK51" i="11"/>
  <c r="BP51" i="11" s="1"/>
  <c r="AI53" i="11"/>
  <c r="AL68" i="11"/>
  <c r="BS80" i="11"/>
  <c r="AL86" i="11"/>
  <c r="AJ94" i="11"/>
  <c r="BS103" i="11"/>
  <c r="AL122" i="11"/>
  <c r="AJ143" i="11"/>
  <c r="BO143" i="11" s="1"/>
  <c r="AL148" i="11"/>
  <c r="AJ149" i="11"/>
  <c r="BO149" i="11" s="1"/>
  <c r="BS151" i="11"/>
  <c r="AL154" i="11"/>
  <c r="AJ155" i="11"/>
  <c r="AK159" i="11"/>
  <c r="BP159" i="11" s="1"/>
  <c r="AL164" i="11"/>
  <c r="BN164" i="11" s="1"/>
  <c r="AK165" i="11"/>
  <c r="BP165" i="11" s="1"/>
  <c r="BS167" i="11"/>
  <c r="AK169" i="11"/>
  <c r="BP169" i="11" s="1"/>
  <c r="BS173" i="11"/>
  <c r="AA180" i="11"/>
  <c r="AC185" i="11"/>
  <c r="AD193" i="11"/>
  <c r="BP193" i="11" s="1"/>
  <c r="BS206" i="11"/>
  <c r="BS208" i="11"/>
  <c r="AS5" i="11"/>
  <c r="BV214" i="11" s="1"/>
  <c r="AL12" i="11"/>
  <c r="AJ13" i="11"/>
  <c r="BO13" i="11" s="1"/>
  <c r="AK19" i="11"/>
  <c r="BP19" i="11" s="1"/>
  <c r="AL25" i="11"/>
  <c r="AK31" i="11"/>
  <c r="BP31" i="11" s="1"/>
  <c r="AJ36" i="11"/>
  <c r="BO36" i="11" s="1"/>
  <c r="AL37" i="11"/>
  <c r="BS40" i="11"/>
  <c r="AJ57" i="11"/>
  <c r="BP61" i="11"/>
  <c r="AI68" i="11"/>
  <c r="AI76" i="11"/>
  <c r="BN76" i="11" s="1"/>
  <c r="AJ98" i="11"/>
  <c r="BO98" i="11" s="1"/>
  <c r="AI106" i="11"/>
  <c r="BS108" i="11"/>
  <c r="BS109" i="11"/>
  <c r="BS114" i="11"/>
  <c r="BS156" i="11"/>
  <c r="AI164" i="11"/>
  <c r="AE186" i="11"/>
  <c r="BS186" i="11" s="1"/>
  <c r="AC193" i="11"/>
  <c r="BO193" i="11" s="1"/>
  <c r="AK207" i="11"/>
  <c r="BP207" i="11" s="1"/>
  <c r="AL208" i="11"/>
  <c r="BS211" i="11"/>
  <c r="BS9" i="11"/>
  <c r="BS21" i="11"/>
  <c r="AK35" i="11"/>
  <c r="BP35" i="11" s="1"/>
  <c r="AL40" i="11"/>
  <c r="BN40" i="11" s="1"/>
  <c r="AK49" i="11"/>
  <c r="BP49" i="11" s="1"/>
  <c r="BS63" i="11"/>
  <c r="AL91" i="11"/>
  <c r="AI97" i="11"/>
  <c r="BS99" i="11"/>
  <c r="BS100" i="11"/>
  <c r="BS112" i="11"/>
  <c r="BS113" i="11"/>
  <c r="BS124" i="11"/>
  <c r="AK133" i="11"/>
  <c r="BP133" i="11" s="1"/>
  <c r="AL152" i="11"/>
  <c r="AJ164" i="11"/>
  <c r="BO164" i="11" s="1"/>
  <c r="AK23" i="11"/>
  <c r="BP23" i="11" s="1"/>
  <c r="BS32" i="11"/>
  <c r="BS42" i="11"/>
  <c r="AL48" i="11"/>
  <c r="BS51" i="11"/>
  <c r="BS53" i="11"/>
  <c r="AK55" i="11"/>
  <c r="BP55" i="11" s="1"/>
  <c r="BS71" i="11"/>
  <c r="AL74" i="11"/>
  <c r="AL89" i="11"/>
  <c r="AI90" i="11"/>
  <c r="AJ97" i="11"/>
  <c r="AJ110" i="11"/>
  <c r="BO110" i="11" s="1"/>
  <c r="BS149" i="11"/>
  <c r="AK167" i="11"/>
  <c r="BP167" i="11" s="1"/>
  <c r="AK172" i="11"/>
  <c r="AE194" i="11"/>
  <c r="AI208" i="11"/>
  <c r="AL212" i="11"/>
  <c r="AD213" i="11"/>
  <c r="BP213" i="11" s="1"/>
  <c r="BO57" i="11"/>
  <c r="BV57" i="11"/>
  <c r="BV25" i="11"/>
  <c r="BO41" i="11"/>
  <c r="BV41" i="11"/>
  <c r="BV40" i="11"/>
  <c r="BO40" i="11"/>
  <c r="BO29" i="11"/>
  <c r="BV29" i="11"/>
  <c r="BO44" i="11"/>
  <c r="BV44" i="11"/>
  <c r="BV28" i="11"/>
  <c r="BO28" i="11"/>
  <c r="BV32" i="11"/>
  <c r="BV80" i="11"/>
  <c r="AL124" i="11"/>
  <c r="AJ124" i="11"/>
  <c r="BO124" i="11" s="1"/>
  <c r="AI124" i="11"/>
  <c r="BV136" i="11"/>
  <c r="BV148" i="11"/>
  <c r="AL8" i="11"/>
  <c r="AL16" i="11"/>
  <c r="BN16" i="11" s="1"/>
  <c r="BS27" i="11"/>
  <c r="BS30" i="11"/>
  <c r="BS34" i="11"/>
  <c r="AJ45" i="11"/>
  <c r="AL60" i="11"/>
  <c r="BS60" i="11"/>
  <c r="BV64" i="11"/>
  <c r="AL82" i="11"/>
  <c r="BS84" i="11"/>
  <c r="AK94" i="11"/>
  <c r="BP94" i="11" s="1"/>
  <c r="AL94" i="11"/>
  <c r="AI94" i="11"/>
  <c r="BN94" i="11" s="1"/>
  <c r="BR94" i="11" s="1"/>
  <c r="BV98" i="11"/>
  <c r="BP102" i="11"/>
  <c r="AK77" i="11"/>
  <c r="BP77" i="11" s="1"/>
  <c r="AL77" i="11"/>
  <c r="AK9" i="11"/>
  <c r="BP9" i="11" s="1"/>
  <c r="AI12" i="11"/>
  <c r="BN12" i="11" s="1"/>
  <c r="AK13" i="11"/>
  <c r="BP13" i="11" s="1"/>
  <c r="AJ15" i="11"/>
  <c r="AJ19" i="11"/>
  <c r="AL20" i="11"/>
  <c r="BS31" i="11"/>
  <c r="AI48" i="11"/>
  <c r="AI52" i="11"/>
  <c r="BV53" i="11"/>
  <c r="BS56" i="11"/>
  <c r="BS168" i="11"/>
  <c r="BS43" i="11"/>
  <c r="BS46" i="11"/>
  <c r="AJ48" i="11"/>
  <c r="BO48" i="11" s="1"/>
  <c r="AJ52" i="11"/>
  <c r="BO52" i="11" s="1"/>
  <c r="BS57" i="11"/>
  <c r="AI60" i="11"/>
  <c r="BV73" i="11"/>
  <c r="AL80" i="11"/>
  <c r="AJ80" i="11"/>
  <c r="BO80" i="11" s="1"/>
  <c r="AI80" i="11"/>
  <c r="BN80" i="11" s="1"/>
  <c r="AL107" i="11"/>
  <c r="AK107" i="11"/>
  <c r="BP107" i="11" s="1"/>
  <c r="BS120" i="11"/>
  <c r="BV16" i="11"/>
  <c r="AL113" i="11"/>
  <c r="BN113" i="11" s="1"/>
  <c r="AJ113" i="11"/>
  <c r="AI113" i="11"/>
  <c r="BN8" i="11"/>
  <c r="BS6" i="11"/>
  <c r="AJ8" i="11"/>
  <c r="AI9" i="11"/>
  <c r="AL13" i="11"/>
  <c r="AJ16" i="11"/>
  <c r="BO16" i="11" s="1"/>
  <c r="AJ17" i="11"/>
  <c r="AI20" i="11"/>
  <c r="AK22" i="11"/>
  <c r="BP22" i="11" s="1"/>
  <c r="BS25" i="11"/>
  <c r="AL28" i="11"/>
  <c r="BS28" i="11"/>
  <c r="AI49" i="11"/>
  <c r="AJ53" i="11"/>
  <c r="BO53" i="11" s="1"/>
  <c r="AI56" i="11"/>
  <c r="BN56" i="11" s="1"/>
  <c r="AK57" i="11"/>
  <c r="BP57" i="11" s="1"/>
  <c r="BS87" i="11"/>
  <c r="AK98" i="11"/>
  <c r="BP98" i="11" s="1"/>
  <c r="AL98" i="11"/>
  <c r="AK116" i="11"/>
  <c r="AJ116" i="11"/>
  <c r="AK127" i="11"/>
  <c r="BP127" i="11" s="1"/>
  <c r="AJ127" i="11"/>
  <c r="AL9" i="11"/>
  <c r="BS11" i="11"/>
  <c r="BS14" i="11"/>
  <c r="AJ20" i="11"/>
  <c r="AI24" i="11"/>
  <c r="AJ56" i="11"/>
  <c r="BO56" i="11" s="1"/>
  <c r="BV76" i="11"/>
  <c r="BO76" i="11"/>
  <c r="AL84" i="11"/>
  <c r="AJ84" i="11"/>
  <c r="AI84" i="11"/>
  <c r="BV113" i="11"/>
  <c r="BO113" i="11"/>
  <c r="BV137" i="11"/>
  <c r="BO161" i="11"/>
  <c r="BV161" i="11"/>
  <c r="BV60" i="11"/>
  <c r="BO60" i="11"/>
  <c r="AJ12" i="11"/>
  <c r="BO12" i="11" s="1"/>
  <c r="BS15" i="11"/>
  <c r="AJ24" i="11"/>
  <c r="AK25" i="11"/>
  <c r="BP25" i="11" s="1"/>
  <c r="AI28" i="11"/>
  <c r="AK29" i="11"/>
  <c r="BP29" i="11" s="1"/>
  <c r="AL36" i="11"/>
  <c r="BN36" i="11" s="1"/>
  <c r="AL44" i="11"/>
  <c r="AI57" i="11"/>
  <c r="BM57" i="11" s="1"/>
  <c r="BS59" i="11"/>
  <c r="BV61" i="11"/>
  <c r="BS66" i="11"/>
  <c r="AK73" i="11"/>
  <c r="BP73" i="11" s="1"/>
  <c r="AL73" i="11"/>
  <c r="AI73" i="11"/>
  <c r="AJ79" i="11"/>
  <c r="BO79" i="11" s="1"/>
  <c r="AK83" i="11"/>
  <c r="BP83" i="11" s="1"/>
  <c r="AJ83" i="11"/>
  <c r="BO94" i="11"/>
  <c r="BV94" i="11"/>
  <c r="BO97" i="11"/>
  <c r="AL105" i="11"/>
  <c r="AJ105" i="11"/>
  <c r="AI105" i="11"/>
  <c r="BO114" i="11"/>
  <c r="BV114" i="11"/>
  <c r="BS143" i="11"/>
  <c r="BS155" i="11"/>
  <c r="BV160" i="11"/>
  <c r="BO160" i="11"/>
  <c r="BO203" i="11"/>
  <c r="BV203" i="11"/>
  <c r="R5" i="11"/>
  <c r="AI32" i="11"/>
  <c r="AK33" i="11"/>
  <c r="BP33" i="11" s="1"/>
  <c r="AK37" i="11"/>
  <c r="BP37" i="11" s="1"/>
  <c r="AK38" i="11"/>
  <c r="BP38" i="11" s="1"/>
  <c r="AI40" i="11"/>
  <c r="AK41" i="11"/>
  <c r="BP41" i="11" s="1"/>
  <c r="BS54" i="11"/>
  <c r="BS55" i="11"/>
  <c r="AL57" i="11"/>
  <c r="AL95" i="11"/>
  <c r="AL109" i="11"/>
  <c r="AJ109" i="11"/>
  <c r="AI109" i="11"/>
  <c r="AL120" i="11"/>
  <c r="AJ120" i="11"/>
  <c r="BO120" i="11" s="1"/>
  <c r="AI120" i="11"/>
  <c r="BV149" i="11"/>
  <c r="AL162" i="11"/>
  <c r="BS61" i="11"/>
  <c r="AJ77" i="11"/>
  <c r="BO77" i="11" s="1"/>
  <c r="BV110" i="11"/>
  <c r="BS110" i="11"/>
  <c r="AK114" i="11"/>
  <c r="BP114" i="11" s="1"/>
  <c r="AL117" i="11"/>
  <c r="AL128" i="11"/>
  <c r="AL136" i="11"/>
  <c r="BN136" i="11" s="1"/>
  <c r="BS136" i="11"/>
  <c r="AL149" i="11"/>
  <c r="BS157" i="11"/>
  <c r="BS158" i="11"/>
  <c r="BS159" i="11"/>
  <c r="AL161" i="11"/>
  <c r="AK176" i="11"/>
  <c r="BP176" i="11" s="1"/>
  <c r="AJ176" i="11"/>
  <c r="BO176" i="11" s="1"/>
  <c r="AI176" i="11"/>
  <c r="AK110" i="11"/>
  <c r="BP110" i="11" s="1"/>
  <c r="AK121" i="11"/>
  <c r="BP121" i="11" s="1"/>
  <c r="AK125" i="11"/>
  <c r="BP125" i="11" s="1"/>
  <c r="AK132" i="11"/>
  <c r="BP132" i="11" s="1"/>
  <c r="AL140" i="11"/>
  <c r="BS145" i="11"/>
  <c r="BS146" i="11"/>
  <c r="BS163" i="11"/>
  <c r="BS172" i="11"/>
  <c r="AL176" i="11"/>
  <c r="BN176" i="11" s="1"/>
  <c r="AE204" i="11"/>
  <c r="AC204" i="11"/>
  <c r="Y204" i="11"/>
  <c r="AJ63" i="11"/>
  <c r="BS69" i="11"/>
  <c r="AK86" i="11"/>
  <c r="BP86" i="11" s="1"/>
  <c r="AK168" i="11"/>
  <c r="BP168" i="11" s="1"/>
  <c r="AJ168" i="11"/>
  <c r="BM168" i="11" s="1"/>
  <c r="AI168" i="11"/>
  <c r="BO185" i="11"/>
  <c r="BV185" i="11"/>
  <c r="AJ61" i="11"/>
  <c r="BO61" i="11" s="1"/>
  <c r="AL66" i="11"/>
  <c r="AJ67" i="11"/>
  <c r="BS79" i="11"/>
  <c r="BS82" i="11"/>
  <c r="AI85" i="11"/>
  <c r="AJ88" i="11"/>
  <c r="AI110" i="11"/>
  <c r="BM110" i="11" s="1"/>
  <c r="AJ117" i="11"/>
  <c r="BO117" i="11" s="1"/>
  <c r="AI121" i="11"/>
  <c r="AL125" i="11"/>
  <c r="AJ128" i="11"/>
  <c r="BO128" i="11" s="1"/>
  <c r="AI132" i="11"/>
  <c r="BN132" i="11" s="1"/>
  <c r="AJ137" i="11"/>
  <c r="BO137" i="11" s="1"/>
  <c r="AI140" i="11"/>
  <c r="BP141" i="11"/>
  <c r="BP153" i="11"/>
  <c r="BS160" i="11"/>
  <c r="AJ167" i="11"/>
  <c r="AI209" i="11"/>
  <c r="BN209" i="11" s="1"/>
  <c r="BV189" i="11"/>
  <c r="BV125" i="11"/>
  <c r="AL61" i="11"/>
  <c r="AL72" i="11"/>
  <c r="BN72" i="11" s="1"/>
  <c r="BS72" i="11"/>
  <c r="BS83" i="11"/>
  <c r="AI89" i="11"/>
  <c r="BN89" i="11" s="1"/>
  <c r="BS93" i="11"/>
  <c r="BS97" i="11"/>
  <c r="BS98" i="11"/>
  <c r="AL110" i="11"/>
  <c r="BS119" i="11"/>
  <c r="AL121" i="11"/>
  <c r="BS123" i="11"/>
  <c r="BS126" i="11"/>
  <c r="AJ132" i="11"/>
  <c r="BO132" i="11" s="1"/>
  <c r="BR132" i="11" s="1"/>
  <c r="AI133" i="11"/>
  <c r="AL137" i="11"/>
  <c r="AJ140" i="11"/>
  <c r="AI144" i="11"/>
  <c r="BN144" i="11" s="1"/>
  <c r="AI148" i="11"/>
  <c r="BN148" i="11" s="1"/>
  <c r="AI152" i="11"/>
  <c r="BN152" i="11" s="1"/>
  <c r="AI156" i="11"/>
  <c r="AK158" i="11"/>
  <c r="BP158" i="11" s="1"/>
  <c r="BS164" i="11"/>
  <c r="AL166" i="11"/>
  <c r="AE200" i="11"/>
  <c r="AC200" i="11"/>
  <c r="Y200" i="11"/>
  <c r="BS62" i="11"/>
  <c r="AJ64" i="11"/>
  <c r="BO64" i="11" s="1"/>
  <c r="BS73" i="11"/>
  <c r="AL76" i="11"/>
  <c r="AJ89" i="11"/>
  <c r="BS94" i="11"/>
  <c r="AL101" i="11"/>
  <c r="BS127" i="11"/>
  <c r="BS130" i="11"/>
  <c r="AL133" i="11"/>
  <c r="BS135" i="11"/>
  <c r="BS138" i="11"/>
  <c r="BS142" i="11"/>
  <c r="AJ144" i="11"/>
  <c r="AJ148" i="11"/>
  <c r="BO148" i="11" s="1"/>
  <c r="AK149" i="11"/>
  <c r="BP149" i="11" s="1"/>
  <c r="AJ152" i="11"/>
  <c r="BO152" i="11" s="1"/>
  <c r="BS154" i="11"/>
  <c r="AJ156" i="11"/>
  <c r="AI157" i="11"/>
  <c r="AI160" i="11"/>
  <c r="AK161" i="11"/>
  <c r="BP161" i="11" s="1"/>
  <c r="BS131" i="11"/>
  <c r="BS139" i="11"/>
  <c r="AD191" i="11"/>
  <c r="BV193" i="11"/>
  <c r="AL168" i="11"/>
  <c r="AL172" i="11"/>
  <c r="AE182" i="11"/>
  <c r="BX193" i="11"/>
  <c r="BX185" i="11"/>
  <c r="AI172" i="11"/>
  <c r="BN172" i="11" s="1"/>
  <c r="BS178" i="11"/>
  <c r="Y182" i="11"/>
  <c r="Y186" i="11"/>
  <c r="Y190" i="11"/>
  <c r="BN190" i="11" s="1"/>
  <c r="Y194" i="11"/>
  <c r="BS194" i="11" s="1"/>
  <c r="BN212" i="11"/>
  <c r="BS212" i="11"/>
  <c r="BS166" i="11"/>
  <c r="AI169" i="11"/>
  <c r="BN169" i="11" s="1"/>
  <c r="AJ172" i="11"/>
  <c r="BS175" i="11"/>
  <c r="AC186" i="11"/>
  <c r="AC190" i="11"/>
  <c r="AC194" i="11"/>
  <c r="AD199" i="11"/>
  <c r="AD203" i="11"/>
  <c r="AL206" i="11"/>
  <c r="BS209" i="11"/>
  <c r="AJ207" i="11"/>
  <c r="AL178" i="11"/>
  <c r="AA181" i="11"/>
  <c r="AA183" i="11"/>
  <c r="AC199" i="11"/>
  <c r="AD201" i="11"/>
  <c r="AK205" i="11"/>
  <c r="BP205" i="11" s="1"/>
  <c r="AJ212" i="11"/>
  <c r="BO212" i="11" s="1"/>
  <c r="BX213" i="11"/>
  <c r="BX189" i="11"/>
  <c r="BO24" i="11"/>
  <c r="AI27" i="11"/>
  <c r="AL27" i="11"/>
  <c r="AJ27" i="11"/>
  <c r="AK27" i="11"/>
  <c r="BP27" i="11" s="1"/>
  <c r="BO67" i="11"/>
  <c r="BQ5" i="11"/>
  <c r="BP15" i="11"/>
  <c r="AL18" i="11"/>
  <c r="AK18" i="11"/>
  <c r="BP18" i="11" s="1"/>
  <c r="F5" i="11"/>
  <c r="AP5" i="11"/>
  <c r="AJ14" i="11"/>
  <c r="BO14" i="11" s="1"/>
  <c r="AI14" i="11"/>
  <c r="AK14" i="11"/>
  <c r="BP14" i="11" s="1"/>
  <c r="AL14" i="11"/>
  <c r="BO19" i="11"/>
  <c r="BN28" i="11"/>
  <c r="AJ30" i="11"/>
  <c r="BO30" i="11" s="1"/>
  <c r="AI30" i="11"/>
  <c r="AK30" i="11"/>
  <c r="BP30" i="11" s="1"/>
  <c r="AL30" i="11"/>
  <c r="AJ42" i="11"/>
  <c r="BO42" i="11" s="1"/>
  <c r="AI42" i="11"/>
  <c r="AK42" i="11"/>
  <c r="BP42" i="11" s="1"/>
  <c r="AL42" i="11"/>
  <c r="AL50" i="11"/>
  <c r="AK50" i="11"/>
  <c r="BP50" i="11" s="1"/>
  <c r="AJ58" i="11"/>
  <c r="BO58" i="11" s="1"/>
  <c r="AI58" i="11"/>
  <c r="AK58" i="11"/>
  <c r="BP58" i="11" s="1"/>
  <c r="AL58" i="11"/>
  <c r="AI11" i="11"/>
  <c r="AL11" i="11"/>
  <c r="AJ11" i="11"/>
  <c r="BO11" i="11" s="1"/>
  <c r="AK11" i="11"/>
  <c r="BP11" i="11" s="1"/>
  <c r="AG5" i="11"/>
  <c r="AI39" i="11"/>
  <c r="AL39" i="11"/>
  <c r="AJ39" i="11"/>
  <c r="AK39" i="11"/>
  <c r="BP39" i="11" s="1"/>
  <c r="AJ54" i="11"/>
  <c r="BO54" i="11" s="1"/>
  <c r="AI54" i="11"/>
  <c r="AK54" i="11"/>
  <c r="BP54" i="11" s="1"/>
  <c r="AL54" i="11"/>
  <c r="AF6" i="11"/>
  <c r="BV6" i="11" s="1"/>
  <c r="L5" i="11"/>
  <c r="AK6" i="11"/>
  <c r="AL6" i="11"/>
  <c r="AH5" i="11"/>
  <c r="AO5" i="11"/>
  <c r="BN9" i="11"/>
  <c r="AJ21" i="11"/>
  <c r="BO21" i="11" s="1"/>
  <c r="AL21" i="11"/>
  <c r="AI21" i="11"/>
  <c r="BN25" i="11"/>
  <c r="BM25" i="11"/>
  <c r="BO27" i="11"/>
  <c r="BN32" i="11"/>
  <c r="AL34" i="11"/>
  <c r="AK34" i="11"/>
  <c r="BP34" i="11" s="1"/>
  <c r="BN37" i="11"/>
  <c r="BO39" i="11"/>
  <c r="BP43" i="11"/>
  <c r="AJ81" i="11"/>
  <c r="BO81" i="11" s="1"/>
  <c r="AI81" i="11"/>
  <c r="AL81" i="11"/>
  <c r="BO84" i="11"/>
  <c r="BO109" i="11"/>
  <c r="AL142" i="11"/>
  <c r="AK142" i="11"/>
  <c r="BP142" i="11" s="1"/>
  <c r="BO7" i="11"/>
  <c r="AJ10" i="11"/>
  <c r="BO10" i="11" s="1"/>
  <c r="AI10" i="11"/>
  <c r="AI23" i="11"/>
  <c r="AL23" i="11"/>
  <c r="AJ26" i="11"/>
  <c r="BO26" i="11" s="1"/>
  <c r="AI26" i="11"/>
  <c r="AI51" i="11"/>
  <c r="AL51" i="11"/>
  <c r="AI59" i="11"/>
  <c r="AL59" i="11"/>
  <c r="AK59" i="11"/>
  <c r="BP59" i="11" s="1"/>
  <c r="BN64" i="11"/>
  <c r="BO83" i="11"/>
  <c r="AI7" i="11"/>
  <c r="AL7" i="11"/>
  <c r="AM5" i="11"/>
  <c r="AJ6" i="11"/>
  <c r="AI6" i="11"/>
  <c r="AN5" i="11"/>
  <c r="AR5" i="11"/>
  <c r="BX214" i="11" s="1"/>
  <c r="AK10" i="11"/>
  <c r="BP10" i="11" s="1"/>
  <c r="BS10" i="11"/>
  <c r="AI13" i="11"/>
  <c r="BS13" i="11"/>
  <c r="AI15" i="11"/>
  <c r="AL15" i="11"/>
  <c r="BO17" i="11"/>
  <c r="AL17" i="11"/>
  <c r="AJ18" i="11"/>
  <c r="BO18" i="11" s="1"/>
  <c r="AI18" i="11"/>
  <c r="AK21" i="11"/>
  <c r="BP21" i="11" s="1"/>
  <c r="AJ23" i="11"/>
  <c r="BO23" i="11" s="1"/>
  <c r="AK26" i="11"/>
  <c r="BP26" i="11" s="1"/>
  <c r="BS26" i="11"/>
  <c r="AI29" i="11"/>
  <c r="BS29" i="11"/>
  <c r="AI31" i="11"/>
  <c r="AL31" i="11"/>
  <c r="AL33" i="11"/>
  <c r="AJ34" i="11"/>
  <c r="BO34" i="11" s="1"/>
  <c r="AI34" i="11"/>
  <c r="BS38" i="11"/>
  <c r="AI41" i="11"/>
  <c r="BS41" i="11"/>
  <c r="AI43" i="11"/>
  <c r="AL43" i="11"/>
  <c r="BO45" i="11"/>
  <c r="AL45" i="11"/>
  <c r="AJ49" i="11"/>
  <c r="BO49" i="11" s="1"/>
  <c r="AL49" i="11"/>
  <c r="BN49" i="11" s="1"/>
  <c r="BS49" i="11"/>
  <c r="AJ51" i="11"/>
  <c r="BO51" i="11" s="1"/>
  <c r="AI55" i="11"/>
  <c r="AL55" i="11"/>
  <c r="AJ55" i="11"/>
  <c r="BO55" i="11" s="1"/>
  <c r="AJ59" i="11"/>
  <c r="AJ65" i="11"/>
  <c r="BO65" i="11" s="1"/>
  <c r="AI65" i="11"/>
  <c r="AL65" i="11"/>
  <c r="AK66" i="11"/>
  <c r="BP66" i="11" s="1"/>
  <c r="BO68" i="11"/>
  <c r="AI75" i="11"/>
  <c r="AL75" i="11"/>
  <c r="AJ75" i="11"/>
  <c r="BO75" i="11" s="1"/>
  <c r="AK75" i="11"/>
  <c r="BP75" i="11" s="1"/>
  <c r="BS77" i="11"/>
  <c r="AK81" i="11"/>
  <c r="BP81" i="11" s="1"/>
  <c r="BS86" i="11"/>
  <c r="AI87" i="11"/>
  <c r="AL87" i="11"/>
  <c r="AJ87" i="11"/>
  <c r="BO87" i="11" s="1"/>
  <c r="BS107" i="11"/>
  <c r="AI112" i="11"/>
  <c r="AL112" i="11"/>
  <c r="AK112" i="11"/>
  <c r="BP112" i="11" s="1"/>
  <c r="AJ112" i="11"/>
  <c r="BO112" i="11" s="1"/>
  <c r="AL119" i="11"/>
  <c r="AK119" i="11"/>
  <c r="BP119" i="11" s="1"/>
  <c r="BO89" i="11"/>
  <c r="AJ115" i="11"/>
  <c r="BO115" i="11" s="1"/>
  <c r="AI115" i="11"/>
  <c r="AL115" i="11"/>
  <c r="AK115" i="11"/>
  <c r="BP115" i="11" s="1"/>
  <c r="O5" i="11"/>
  <c r="AJ38" i="11"/>
  <c r="BO38" i="11" s="1"/>
  <c r="AI38" i="11"/>
  <c r="AJ62" i="11"/>
  <c r="BO62" i="11" s="1"/>
  <c r="AI62" i="11"/>
  <c r="AK62" i="11"/>
  <c r="BP62" i="11" s="1"/>
  <c r="AL62" i="11"/>
  <c r="AJ69" i="11"/>
  <c r="BO69" i="11" s="1"/>
  <c r="AL69" i="11"/>
  <c r="BO105" i="11"/>
  <c r="AJ111" i="11"/>
  <c r="BO111" i="11" s="1"/>
  <c r="AI111" i="11"/>
  <c r="AK111" i="11"/>
  <c r="BP111" i="11" s="1"/>
  <c r="AL111" i="11"/>
  <c r="AI147" i="11"/>
  <c r="AL147" i="11"/>
  <c r="AJ147" i="11"/>
  <c r="BO147" i="11" s="1"/>
  <c r="AK147" i="11"/>
  <c r="BP147" i="11" s="1"/>
  <c r="AQ5" i="11"/>
  <c r="BO8" i="11"/>
  <c r="BM15" i="11"/>
  <c r="BO15" i="11"/>
  <c r="AI17" i="11"/>
  <c r="BS17" i="11"/>
  <c r="AI19" i="11"/>
  <c r="AL19" i="11"/>
  <c r="BO20" i="11"/>
  <c r="AJ22" i="11"/>
  <c r="BO22" i="11" s="1"/>
  <c r="AI22" i="11"/>
  <c r="BO31" i="11"/>
  <c r="AI33" i="11"/>
  <c r="BS33" i="11"/>
  <c r="AI35" i="11"/>
  <c r="AL35" i="11"/>
  <c r="BO43" i="11"/>
  <c r="AI45" i="11"/>
  <c r="BS45" i="11"/>
  <c r="AJ46" i="11"/>
  <c r="BO46" i="11" s="1"/>
  <c r="AI46" i="11"/>
  <c r="AL46" i="11"/>
  <c r="BM58" i="11"/>
  <c r="BO59" i="11"/>
  <c r="AI69" i="11"/>
  <c r="AI71" i="11"/>
  <c r="AL71" i="11"/>
  <c r="AJ71" i="11"/>
  <c r="BO71" i="11" s="1"/>
  <c r="AJ74" i="11"/>
  <c r="BO74" i="11" s="1"/>
  <c r="AI74" i="11"/>
  <c r="AK74" i="11"/>
  <c r="BP74" i="11" s="1"/>
  <c r="AJ78" i="11"/>
  <c r="BO78" i="11" s="1"/>
  <c r="AI78" i="11"/>
  <c r="AK78" i="11"/>
  <c r="BP78" i="11" s="1"/>
  <c r="AL78" i="11"/>
  <c r="AJ85" i="11"/>
  <c r="BO85" i="11" s="1"/>
  <c r="AL85" i="11"/>
  <c r="BN85" i="11" s="1"/>
  <c r="BO88" i="11"/>
  <c r="AI96" i="11"/>
  <c r="AL96" i="11"/>
  <c r="AK96" i="11"/>
  <c r="BP96" i="11" s="1"/>
  <c r="AJ96" i="11"/>
  <c r="BO96" i="11" s="1"/>
  <c r="AJ102" i="11"/>
  <c r="BO102" i="11" s="1"/>
  <c r="AL102" i="11"/>
  <c r="AI102" i="11"/>
  <c r="AK103" i="11"/>
  <c r="BP103" i="11" s="1"/>
  <c r="AI108" i="11"/>
  <c r="AL108" i="11"/>
  <c r="AJ108" i="11"/>
  <c r="BO108" i="11" s="1"/>
  <c r="AK108" i="11"/>
  <c r="BP108" i="11" s="1"/>
  <c r="AI123" i="11"/>
  <c r="AL123" i="11"/>
  <c r="AK123" i="11"/>
  <c r="BP123" i="11" s="1"/>
  <c r="AJ123" i="11"/>
  <c r="BO123" i="11" s="1"/>
  <c r="AJ129" i="11"/>
  <c r="BO129" i="11" s="1"/>
  <c r="AL129" i="11"/>
  <c r="AI129" i="11"/>
  <c r="AI135" i="11"/>
  <c r="AL135" i="11"/>
  <c r="AK135" i="11"/>
  <c r="BP135" i="11" s="1"/>
  <c r="AJ135" i="11"/>
  <c r="BO135" i="11" s="1"/>
  <c r="AI47" i="11"/>
  <c r="AL47" i="11"/>
  <c r="AJ50" i="11"/>
  <c r="BO50" i="11" s="1"/>
  <c r="AI50" i="11"/>
  <c r="AK53" i="11"/>
  <c r="BP53" i="11" s="1"/>
  <c r="BS58" i="11"/>
  <c r="AI61" i="11"/>
  <c r="AI63" i="11"/>
  <c r="AL63" i="11"/>
  <c r="BS65" i="11"/>
  <c r="AJ66" i="11"/>
  <c r="BO66" i="11" s="1"/>
  <c r="AI66" i="11"/>
  <c r="AK69" i="11"/>
  <c r="BP69" i="11" s="1"/>
  <c r="BS74" i="11"/>
  <c r="AI77" i="11"/>
  <c r="AI79" i="11"/>
  <c r="AL79" i="11"/>
  <c r="BS81" i="11"/>
  <c r="AJ82" i="11"/>
  <c r="BO82" i="11" s="1"/>
  <c r="AI82" i="11"/>
  <c r="AK85" i="11"/>
  <c r="BP85" i="11" s="1"/>
  <c r="BS91" i="11"/>
  <c r="AI92" i="11"/>
  <c r="AL92" i="11"/>
  <c r="AJ92" i="11"/>
  <c r="BO92" i="11" s="1"/>
  <c r="AJ95" i="11"/>
  <c r="BO95" i="11" s="1"/>
  <c r="AI95" i="11"/>
  <c r="AK95" i="11"/>
  <c r="BP95" i="11" s="1"/>
  <c r="AJ99" i="11"/>
  <c r="BO99" i="11" s="1"/>
  <c r="AI99" i="11"/>
  <c r="AL99" i="11"/>
  <c r="AK99" i="11"/>
  <c r="BP99" i="11" s="1"/>
  <c r="BN101" i="11"/>
  <c r="AJ106" i="11"/>
  <c r="BO106" i="11" s="1"/>
  <c r="AL106" i="11"/>
  <c r="BN106" i="11" s="1"/>
  <c r="BP116" i="11"/>
  <c r="AK129" i="11"/>
  <c r="BP129" i="11" s="1"/>
  <c r="AJ150" i="11"/>
  <c r="AI150" i="11"/>
  <c r="AK150" i="11"/>
  <c r="BP150" i="11" s="1"/>
  <c r="AL150" i="11"/>
  <c r="BO63" i="11"/>
  <c r="AI67" i="11"/>
  <c r="AL67" i="11"/>
  <c r="AJ70" i="11"/>
  <c r="BO70" i="11" s="1"/>
  <c r="AI70" i="11"/>
  <c r="AI83" i="11"/>
  <c r="AL83" i="11"/>
  <c r="AJ86" i="11"/>
  <c r="BO86" i="11" s="1"/>
  <c r="AI86" i="11"/>
  <c r="AJ90" i="11"/>
  <c r="BO90" i="11" s="1"/>
  <c r="AL90" i="11"/>
  <c r="BN90" i="11" s="1"/>
  <c r="BN97" i="11"/>
  <c r="BP100" i="11"/>
  <c r="AJ118" i="11"/>
  <c r="BO118" i="11" s="1"/>
  <c r="AL118" i="11"/>
  <c r="AI118" i="11"/>
  <c r="BO155" i="11"/>
  <c r="AL171" i="11"/>
  <c r="AI171" i="11"/>
  <c r="AK171" i="11"/>
  <c r="BP171" i="11" s="1"/>
  <c r="AJ171" i="11"/>
  <c r="BO171" i="11" s="1"/>
  <c r="AC187" i="11"/>
  <c r="AE187" i="11"/>
  <c r="Y187" i="11"/>
  <c r="AC192" i="11"/>
  <c r="Y192" i="11"/>
  <c r="AE192" i="11"/>
  <c r="AD192" i="11"/>
  <c r="AJ210" i="11"/>
  <c r="AI210" i="11"/>
  <c r="AK210" i="11"/>
  <c r="BP210" i="11" s="1"/>
  <c r="AL210" i="11"/>
  <c r="AK166" i="11"/>
  <c r="BP166" i="11" s="1"/>
  <c r="W5" i="11"/>
  <c r="AK8" i="11"/>
  <c r="BP8" i="11" s="1"/>
  <c r="AJ9" i="11"/>
  <c r="BM9" i="11" s="1"/>
  <c r="AK12" i="11"/>
  <c r="BP12" i="11" s="1"/>
  <c r="AK16" i="11"/>
  <c r="BP16" i="11" s="1"/>
  <c r="AK20" i="11"/>
  <c r="BP20" i="11" s="1"/>
  <c r="AK24" i="11"/>
  <c r="BP24" i="11" s="1"/>
  <c r="AK28" i="11"/>
  <c r="BP28" i="11" s="1"/>
  <c r="AK32" i="11"/>
  <c r="BP32" i="11" s="1"/>
  <c r="AK36" i="11"/>
  <c r="BP36" i="11" s="1"/>
  <c r="AJ37" i="11"/>
  <c r="BO37" i="11" s="1"/>
  <c r="AK40" i="11"/>
  <c r="BP40" i="11" s="1"/>
  <c r="AK44" i="11"/>
  <c r="BP44" i="11" s="1"/>
  <c r="AK48" i="11"/>
  <c r="BP48" i="11" s="1"/>
  <c r="AK52" i="11"/>
  <c r="BP52" i="11" s="1"/>
  <c r="AK56" i="11"/>
  <c r="BP56" i="11" s="1"/>
  <c r="AK60" i="11"/>
  <c r="BP60" i="11" s="1"/>
  <c r="AK64" i="11"/>
  <c r="BP64" i="11" s="1"/>
  <c r="AK68" i="11"/>
  <c r="BP68" i="11" s="1"/>
  <c r="AK72" i="11"/>
  <c r="BP72" i="11" s="1"/>
  <c r="AK76" i="11"/>
  <c r="BP76" i="11" s="1"/>
  <c r="AK80" i="11"/>
  <c r="BP80" i="11" s="1"/>
  <c r="AK84" i="11"/>
  <c r="BP84" i="11" s="1"/>
  <c r="AI88" i="11"/>
  <c r="AL88" i="11"/>
  <c r="AJ91" i="11"/>
  <c r="BO91" i="11" s="1"/>
  <c r="AI91" i="11"/>
  <c r="AI104" i="11"/>
  <c r="AL104" i="11"/>
  <c r="AJ107" i="11"/>
  <c r="BO107" i="11" s="1"/>
  <c r="AI107" i="11"/>
  <c r="BO116" i="11"/>
  <c r="BN124" i="11"/>
  <c r="BO131" i="11"/>
  <c r="BP139" i="11"/>
  <c r="AI159" i="11"/>
  <c r="AL159" i="11"/>
  <c r="AJ159" i="11"/>
  <c r="BO159" i="11" s="1"/>
  <c r="AJ162" i="11"/>
  <c r="AI162" i="11"/>
  <c r="AK162" i="11"/>
  <c r="BP162" i="11" s="1"/>
  <c r="BO167" i="11"/>
  <c r="AB181" i="11"/>
  <c r="Y181" i="11"/>
  <c r="AD181" i="11"/>
  <c r="AC184" i="11"/>
  <c r="BV184" i="11" s="1"/>
  <c r="Y184" i="11"/>
  <c r="AE184" i="11"/>
  <c r="AD184" i="11"/>
  <c r="AE195" i="11"/>
  <c r="Y195" i="11"/>
  <c r="AC202" i="11"/>
  <c r="Y202" i="11"/>
  <c r="AE202" i="11"/>
  <c r="AD202" i="11"/>
  <c r="AJ141" i="11"/>
  <c r="BO141" i="11" s="1"/>
  <c r="AL141" i="11"/>
  <c r="AI141" i="11"/>
  <c r="BO144" i="11"/>
  <c r="AI151" i="11"/>
  <c r="AL151" i="11"/>
  <c r="AK151" i="11"/>
  <c r="BP151" i="11" s="1"/>
  <c r="AJ151" i="11"/>
  <c r="BO151" i="11" s="1"/>
  <c r="AJ157" i="11"/>
  <c r="BO157" i="11" s="1"/>
  <c r="AL157" i="11"/>
  <c r="AL165" i="11"/>
  <c r="AI165" i="11"/>
  <c r="AI175" i="11"/>
  <c r="AL175" i="11"/>
  <c r="AK175" i="11"/>
  <c r="BP175" i="11" s="1"/>
  <c r="AJ175" i="11"/>
  <c r="X5" i="11"/>
  <c r="AK90" i="11"/>
  <c r="BP90" i="11" s="1"/>
  <c r="BS95" i="11"/>
  <c r="AI98" i="11"/>
  <c r="AI100" i="11"/>
  <c r="AL100" i="11"/>
  <c r="BS102" i="11"/>
  <c r="AJ103" i="11"/>
  <c r="BO103" i="11" s="1"/>
  <c r="AI103" i="11"/>
  <c r="BN103" i="11" s="1"/>
  <c r="AK106" i="11"/>
  <c r="BP106" i="11" s="1"/>
  <c r="BS111" i="11"/>
  <c r="AI114" i="11"/>
  <c r="AI116" i="11"/>
  <c r="AL116" i="11"/>
  <c r="BS118" i="11"/>
  <c r="AJ119" i="11"/>
  <c r="BO119" i="11" s="1"/>
  <c r="AI119" i="11"/>
  <c r="BS121" i="11"/>
  <c r="AJ122" i="11"/>
  <c r="BO122" i="11" s="1"/>
  <c r="AI122" i="11"/>
  <c r="AK122" i="11"/>
  <c r="BP122" i="11" s="1"/>
  <c r="AJ126" i="11"/>
  <c r="BO126" i="11" s="1"/>
  <c r="AI126" i="11"/>
  <c r="AL126" i="11"/>
  <c r="AK126" i="11"/>
  <c r="BP126" i="11" s="1"/>
  <c r="BN128" i="11"/>
  <c r="BN133" i="11"/>
  <c r="BS133" i="11"/>
  <c r="AJ134" i="11"/>
  <c r="BO134" i="11" s="1"/>
  <c r="AI134" i="11"/>
  <c r="AK134" i="11"/>
  <c r="BP134" i="11" s="1"/>
  <c r="AJ138" i="11"/>
  <c r="BO138" i="11" s="1"/>
  <c r="AI138" i="11"/>
  <c r="AL138" i="11"/>
  <c r="AK138" i="11"/>
  <c r="BP138" i="11" s="1"/>
  <c r="BN140" i="11"/>
  <c r="AJ145" i="11"/>
  <c r="BO145" i="11" s="1"/>
  <c r="AL145" i="11"/>
  <c r="BN145" i="11" s="1"/>
  <c r="AL153" i="11"/>
  <c r="AI153" i="11"/>
  <c r="AK154" i="11"/>
  <c r="BP154" i="11" s="1"/>
  <c r="BO156" i="11"/>
  <c r="BM161" i="11"/>
  <c r="AI163" i="11"/>
  <c r="AL163" i="11"/>
  <c r="AK163" i="11"/>
  <c r="BP163" i="11" s="1"/>
  <c r="AJ163" i="11"/>
  <c r="BO163" i="11" s="1"/>
  <c r="BS169" i="11"/>
  <c r="AJ170" i="11"/>
  <c r="BO170" i="11" s="1"/>
  <c r="AI170" i="11"/>
  <c r="AK170" i="11"/>
  <c r="BP170" i="11" s="1"/>
  <c r="AJ174" i="11"/>
  <c r="BO174" i="11" s="1"/>
  <c r="AI174" i="11"/>
  <c r="AK174" i="11"/>
  <c r="BP174" i="11" s="1"/>
  <c r="AL174" i="11"/>
  <c r="AK89" i="11"/>
  <c r="BP89" i="11" s="1"/>
  <c r="AK93" i="11"/>
  <c r="BP93" i="11" s="1"/>
  <c r="AK97" i="11"/>
  <c r="BP97" i="11" s="1"/>
  <c r="AK101" i="11"/>
  <c r="BP101" i="11" s="1"/>
  <c r="AK105" i="11"/>
  <c r="BP105" i="11" s="1"/>
  <c r="AK109" i="11"/>
  <c r="BP109" i="11" s="1"/>
  <c r="AK113" i="11"/>
  <c r="BP113" i="11" s="1"/>
  <c r="AK117" i="11"/>
  <c r="BP117" i="11" s="1"/>
  <c r="BO127" i="11"/>
  <c r="BS129" i="11"/>
  <c r="AI131" i="11"/>
  <c r="BN131" i="11" s="1"/>
  <c r="BR131" i="11" s="1"/>
  <c r="AL131" i="11"/>
  <c r="BO139" i="11"/>
  <c r="BS141" i="11"/>
  <c r="AI143" i="11"/>
  <c r="AL143" i="11"/>
  <c r="AJ146" i="11"/>
  <c r="BO146" i="11" s="1"/>
  <c r="AI146" i="11"/>
  <c r="BO150" i="11"/>
  <c r="BS153" i="11"/>
  <c r="AI155" i="11"/>
  <c r="AL155" i="11"/>
  <c r="AJ158" i="11"/>
  <c r="BO158" i="11" s="1"/>
  <c r="AI158" i="11"/>
  <c r="BO162" i="11"/>
  <c r="BS165" i="11"/>
  <c r="AI167" i="11"/>
  <c r="AL167" i="11"/>
  <c r="BO172" i="11"/>
  <c r="BO175" i="11"/>
  <c r="AK177" i="11"/>
  <c r="BP177" i="11" s="1"/>
  <c r="AE191" i="11"/>
  <c r="Y191" i="11"/>
  <c r="AI211" i="11"/>
  <c r="AL211" i="11"/>
  <c r="AK211" i="11"/>
  <c r="BP211" i="11" s="1"/>
  <c r="AJ211" i="11"/>
  <c r="BO211" i="11" s="1"/>
  <c r="BS122" i="11"/>
  <c r="AI125" i="11"/>
  <c r="BS125" i="11"/>
  <c r="AI127" i="11"/>
  <c r="AL127" i="11"/>
  <c r="AJ130" i="11"/>
  <c r="BO130" i="11" s="1"/>
  <c r="AI130" i="11"/>
  <c r="BN130" i="11" s="1"/>
  <c r="BS134" i="11"/>
  <c r="AI137" i="11"/>
  <c r="BS137" i="11"/>
  <c r="AI139" i="11"/>
  <c r="AL139" i="11"/>
  <c r="BO140" i="11"/>
  <c r="AJ142" i="11"/>
  <c r="BO142" i="11" s="1"/>
  <c r="AI142" i="11"/>
  <c r="BN142" i="11" s="1"/>
  <c r="AK145" i="11"/>
  <c r="BP145" i="11" s="1"/>
  <c r="BS150" i="11"/>
  <c r="AJ154" i="11"/>
  <c r="BO154" i="11" s="1"/>
  <c r="AI154" i="11"/>
  <c r="BN154" i="11" s="1"/>
  <c r="AK157" i="11"/>
  <c r="BP157" i="11" s="1"/>
  <c r="BS162" i="11"/>
  <c r="AJ166" i="11"/>
  <c r="BO166" i="11" s="1"/>
  <c r="AI166" i="11"/>
  <c r="BN166" i="11" s="1"/>
  <c r="BS170" i="11"/>
  <c r="AL177" i="11"/>
  <c r="AI177" i="11"/>
  <c r="AB180" i="11"/>
  <c r="AD187" i="11"/>
  <c r="AC188" i="11"/>
  <c r="Y188" i="11"/>
  <c r="AE188" i="11"/>
  <c r="AD188" i="11"/>
  <c r="AD195" i="11"/>
  <c r="AC196" i="11"/>
  <c r="Y196" i="11"/>
  <c r="AE196" i="11"/>
  <c r="AD196" i="11"/>
  <c r="AC198" i="11"/>
  <c r="Y198" i="11"/>
  <c r="AE198" i="11"/>
  <c r="AD198" i="11"/>
  <c r="AK120" i="11"/>
  <c r="BP120" i="11" s="1"/>
  <c r="AJ121" i="11"/>
  <c r="AK124" i="11"/>
  <c r="BP124" i="11" s="1"/>
  <c r="AK128" i="11"/>
  <c r="BP128" i="11" s="1"/>
  <c r="AJ133" i="11"/>
  <c r="AK136" i="11"/>
  <c r="BP136" i="11" s="1"/>
  <c r="AK140" i="11"/>
  <c r="BP140" i="11" s="1"/>
  <c r="AK144" i="11"/>
  <c r="BP144" i="11" s="1"/>
  <c r="AK148" i="11"/>
  <c r="BP148" i="11" s="1"/>
  <c r="AK152" i="11"/>
  <c r="BP152" i="11" s="1"/>
  <c r="AJ153" i="11"/>
  <c r="BO153" i="11" s="1"/>
  <c r="AK156" i="11"/>
  <c r="BP156" i="11" s="1"/>
  <c r="AK160" i="11"/>
  <c r="BP160" i="11" s="1"/>
  <c r="AK164" i="11"/>
  <c r="BP164" i="11" s="1"/>
  <c r="AJ165" i="11"/>
  <c r="BO165" i="11" s="1"/>
  <c r="AJ169" i="11"/>
  <c r="BP172" i="11"/>
  <c r="AK173" i="11"/>
  <c r="BP173" i="11" s="1"/>
  <c r="BS177" i="11"/>
  <c r="AD179" i="11"/>
  <c r="BX179" i="11" s="1"/>
  <c r="Y179" i="11"/>
  <c r="AB179" i="11"/>
  <c r="BV179" i="11" s="1"/>
  <c r="AE179" i="11"/>
  <c r="AC201" i="11"/>
  <c r="AE201" i="11"/>
  <c r="Y201" i="11"/>
  <c r="AJ205" i="11"/>
  <c r="AL205" i="11"/>
  <c r="AI205" i="11"/>
  <c r="BO208" i="11"/>
  <c r="BS174" i="11"/>
  <c r="AJ178" i="11"/>
  <c r="BO178" i="11" s="1"/>
  <c r="AI178" i="11"/>
  <c r="AE180" i="11"/>
  <c r="Z180" i="11"/>
  <c r="AD180" i="11"/>
  <c r="Y180" i="11"/>
  <c r="BO207" i="11"/>
  <c r="AJ173" i="11"/>
  <c r="AJ177" i="11"/>
  <c r="BO177" i="11" s="1"/>
  <c r="Z181" i="11"/>
  <c r="AE181" i="11"/>
  <c r="AB182" i="11"/>
  <c r="AA182" i="11"/>
  <c r="AD182" i="11"/>
  <c r="BS205" i="11"/>
  <c r="AI207" i="11"/>
  <c r="AL207" i="11"/>
  <c r="AK209" i="11"/>
  <c r="BP209" i="11" s="1"/>
  <c r="BO210" i="11"/>
  <c r="AD183" i="11"/>
  <c r="Y183" i="11"/>
  <c r="AB183" i="11"/>
  <c r="AE183" i="11"/>
  <c r="Y185" i="11"/>
  <c r="AE185" i="11"/>
  <c r="Y189" i="11"/>
  <c r="AE189" i="11"/>
  <c r="Y193" i="11"/>
  <c r="AE193" i="11"/>
  <c r="AD197" i="11"/>
  <c r="Y197" i="11"/>
  <c r="AB197" i="11"/>
  <c r="AE197" i="11"/>
  <c r="Y199" i="11"/>
  <c r="AE199" i="11"/>
  <c r="Y203" i="11"/>
  <c r="AE203" i="11"/>
  <c r="BO205" i="11"/>
  <c r="AJ206" i="11"/>
  <c r="BO206" i="11" s="1"/>
  <c r="AI206" i="11"/>
  <c r="BN206" i="11" s="1"/>
  <c r="BS210" i="11"/>
  <c r="BR214" i="11"/>
  <c r="AD186" i="11"/>
  <c r="AD190" i="11"/>
  <c r="AC191" i="11"/>
  <c r="AD194" i="11"/>
  <c r="AC195" i="11"/>
  <c r="AD200" i="11"/>
  <c r="AD204" i="11"/>
  <c r="AK208" i="11"/>
  <c r="BP208" i="11" s="1"/>
  <c r="AJ209" i="11"/>
  <c r="AK212" i="11"/>
  <c r="BP212" i="11" s="1"/>
  <c r="AC213" i="11"/>
  <c r="BQ2" i="11"/>
  <c r="BM133" i="11" l="1"/>
  <c r="BN186" i="11"/>
  <c r="BM176" i="11"/>
  <c r="BM172" i="11"/>
  <c r="BO168" i="11"/>
  <c r="BR72" i="11"/>
  <c r="BN156" i="11"/>
  <c r="BN161" i="11"/>
  <c r="BR161" i="11" s="1"/>
  <c r="BN149" i="11"/>
  <c r="BR149" i="11" s="1"/>
  <c r="BN20" i="11"/>
  <c r="BN68" i="11"/>
  <c r="BS213" i="11"/>
  <c r="BN44" i="11"/>
  <c r="BR93" i="11"/>
  <c r="BM207" i="11"/>
  <c r="BM132" i="11"/>
  <c r="BN82" i="11"/>
  <c r="BN160" i="11"/>
  <c r="BN48" i="11"/>
  <c r="BR48" i="11" s="1"/>
  <c r="BM112" i="11"/>
  <c r="BN194" i="11"/>
  <c r="BN178" i="11"/>
  <c r="BM73" i="11"/>
  <c r="BM149" i="11"/>
  <c r="BM169" i="11"/>
  <c r="BM127" i="11"/>
  <c r="BN66" i="11"/>
  <c r="BR66" i="11" s="1"/>
  <c r="BN24" i="11"/>
  <c r="BR24" i="11" s="1"/>
  <c r="BM94" i="11"/>
  <c r="BM30" i="11"/>
  <c r="BN52" i="11"/>
  <c r="BR52" i="11" s="1"/>
  <c r="BR25" i="11"/>
  <c r="BN200" i="11"/>
  <c r="BN121" i="11"/>
  <c r="BN19" i="11"/>
  <c r="BR19" i="11" s="1"/>
  <c r="BM31" i="11"/>
  <c r="BN60" i="11"/>
  <c r="BN100" i="11"/>
  <c r="BR100" i="11" s="1"/>
  <c r="BN108" i="11"/>
  <c r="BR108" i="11" s="1"/>
  <c r="BM209" i="11"/>
  <c r="BM173" i="11"/>
  <c r="BM143" i="11"/>
  <c r="BR60" i="11"/>
  <c r="BM63" i="11"/>
  <c r="BM55" i="11"/>
  <c r="BM43" i="11"/>
  <c r="BM47" i="11"/>
  <c r="BN78" i="11"/>
  <c r="BR78" i="11" s="1"/>
  <c r="BM51" i="11"/>
  <c r="BN204" i="11"/>
  <c r="BN208" i="11"/>
  <c r="BR208" i="11" s="1"/>
  <c r="BR164" i="11"/>
  <c r="BM144" i="11"/>
  <c r="BM115" i="11"/>
  <c r="BR156" i="11"/>
  <c r="BM171" i="11"/>
  <c r="BR49" i="11"/>
  <c r="BM182" i="11"/>
  <c r="BM178" i="11"/>
  <c r="BN88" i="11"/>
  <c r="BR88" i="11" s="1"/>
  <c r="BN123" i="11"/>
  <c r="BR212" i="11"/>
  <c r="BN109" i="11"/>
  <c r="BR109" i="11" s="1"/>
  <c r="BN177" i="11"/>
  <c r="BR177" i="11" s="1"/>
  <c r="BM139" i="11"/>
  <c r="BM211" i="11"/>
  <c r="BR90" i="11"/>
  <c r="BR8" i="11"/>
  <c r="BN58" i="11"/>
  <c r="BN42" i="11"/>
  <c r="BN73" i="11"/>
  <c r="BR73" i="11" s="1"/>
  <c r="BM101" i="11"/>
  <c r="BN62" i="11"/>
  <c r="BR62" i="11" s="1"/>
  <c r="BM212" i="11"/>
  <c r="BO173" i="11"/>
  <c r="BR173" i="11" s="1"/>
  <c r="BM167" i="11"/>
  <c r="BR117" i="11"/>
  <c r="BN151" i="11"/>
  <c r="BR151" i="11" s="1"/>
  <c r="BN71" i="11"/>
  <c r="BR71" i="11" s="1"/>
  <c r="BN35" i="11"/>
  <c r="BR35" i="11" s="1"/>
  <c r="BO196" i="11"/>
  <c r="BV196" i="11"/>
  <c r="BS190" i="11"/>
  <c r="BR160" i="11"/>
  <c r="BO198" i="11"/>
  <c r="BV198" i="11"/>
  <c r="BS200" i="11"/>
  <c r="BP184" i="11"/>
  <c r="BX184" i="11"/>
  <c r="BO187" i="11"/>
  <c r="BV187" i="11"/>
  <c r="BR36" i="11"/>
  <c r="BV194" i="11"/>
  <c r="BO194" i="11"/>
  <c r="BR194" i="11" s="1"/>
  <c r="BP191" i="11"/>
  <c r="BX191" i="11"/>
  <c r="BN168" i="11"/>
  <c r="BR168" i="11" s="1"/>
  <c r="BN57" i="11"/>
  <c r="BR57" i="11" s="1"/>
  <c r="BN84" i="11"/>
  <c r="BP181" i="11"/>
  <c r="BX181" i="11"/>
  <c r="BO195" i="11"/>
  <c r="BV195" i="11"/>
  <c r="BP194" i="11"/>
  <c r="BX194" i="11"/>
  <c r="BO197" i="11"/>
  <c r="BV197" i="11"/>
  <c r="BR178" i="11"/>
  <c r="BP196" i="11"/>
  <c r="BX196" i="11"/>
  <c r="BO188" i="11"/>
  <c r="BV188" i="11"/>
  <c r="BM164" i="11"/>
  <c r="BM200" i="11"/>
  <c r="BN116" i="11"/>
  <c r="BR116" i="11" s="1"/>
  <c r="BM90" i="11"/>
  <c r="BM62" i="11"/>
  <c r="BM103" i="11"/>
  <c r="BM8" i="11"/>
  <c r="BR89" i="11"/>
  <c r="BR68" i="11"/>
  <c r="BV190" i="11"/>
  <c r="BO190" i="11"/>
  <c r="BP186" i="11"/>
  <c r="BX186" i="11"/>
  <c r="BO213" i="11"/>
  <c r="BV213" i="11"/>
  <c r="BO191" i="11"/>
  <c r="BV191" i="11"/>
  <c r="BP187" i="11"/>
  <c r="BX187" i="11"/>
  <c r="BR176" i="11"/>
  <c r="BP202" i="11"/>
  <c r="BX202" i="11"/>
  <c r="BM104" i="11"/>
  <c r="BP192" i="11"/>
  <c r="BX192" i="11"/>
  <c r="BM76" i="11"/>
  <c r="BM135" i="11"/>
  <c r="BR20" i="11"/>
  <c r="BM42" i="11"/>
  <c r="BM23" i="11"/>
  <c r="BR84" i="11"/>
  <c r="BM53" i="11"/>
  <c r="BV186" i="11"/>
  <c r="BO186" i="11"/>
  <c r="BR186" i="11" s="1"/>
  <c r="BR148" i="11"/>
  <c r="BS204" i="11"/>
  <c r="BP200" i="11"/>
  <c r="BR200" i="11" s="1"/>
  <c r="BX200" i="11"/>
  <c r="BP190" i="11"/>
  <c r="BX190" i="11"/>
  <c r="BP197" i="11"/>
  <c r="BX197" i="11"/>
  <c r="BO183" i="11"/>
  <c r="BV183" i="11"/>
  <c r="BP182" i="11"/>
  <c r="BX182" i="11"/>
  <c r="BN182" i="11"/>
  <c r="BM121" i="11"/>
  <c r="BO180" i="11"/>
  <c r="BV180" i="11"/>
  <c r="BM136" i="11"/>
  <c r="BM153" i="11"/>
  <c r="BM113" i="11"/>
  <c r="BR144" i="11"/>
  <c r="BR106" i="11"/>
  <c r="BR82" i="11"/>
  <c r="BR85" i="11"/>
  <c r="AA5" i="11"/>
  <c r="BM39" i="11"/>
  <c r="BR16" i="11"/>
  <c r="BO204" i="11"/>
  <c r="BV204" i="11"/>
  <c r="BN105" i="11"/>
  <c r="BR105" i="11" s="1"/>
  <c r="BP183" i="11"/>
  <c r="BX183" i="11"/>
  <c r="BO182" i="11"/>
  <c r="BV182" i="11"/>
  <c r="BO201" i="11"/>
  <c r="BV201" i="11"/>
  <c r="BP198" i="11"/>
  <c r="BX198" i="11"/>
  <c r="BP195" i="11"/>
  <c r="BX195" i="11"/>
  <c r="BM163" i="11"/>
  <c r="BN157" i="11"/>
  <c r="BR157" i="11" s="1"/>
  <c r="BO202" i="11"/>
  <c r="BV202" i="11"/>
  <c r="BO192" i="11"/>
  <c r="BV192" i="11"/>
  <c r="BN83" i="11"/>
  <c r="BR83" i="11" s="1"/>
  <c r="BM49" i="11"/>
  <c r="BO9" i="11"/>
  <c r="BN7" i="11"/>
  <c r="BR7" i="11" s="1"/>
  <c r="BP201" i="11"/>
  <c r="BX201" i="11"/>
  <c r="BV200" i="11"/>
  <c r="BO200" i="11"/>
  <c r="BS182" i="11"/>
  <c r="BM48" i="11"/>
  <c r="BR154" i="11"/>
  <c r="BM124" i="11"/>
  <c r="BP204" i="11"/>
  <c r="BX204" i="11"/>
  <c r="BM194" i="11"/>
  <c r="BP180" i="11"/>
  <c r="BX180" i="11"/>
  <c r="BP188" i="11"/>
  <c r="BX188" i="11"/>
  <c r="BM97" i="11"/>
  <c r="BM157" i="11"/>
  <c r="BO181" i="11"/>
  <c r="BV181" i="11"/>
  <c r="BM166" i="11"/>
  <c r="BM80" i="11"/>
  <c r="BR32" i="11"/>
  <c r="BR56" i="11"/>
  <c r="BO199" i="11"/>
  <c r="BV199" i="11"/>
  <c r="BP203" i="11"/>
  <c r="BX203" i="11"/>
  <c r="Z5" i="11"/>
  <c r="BM152" i="11"/>
  <c r="BR97" i="11"/>
  <c r="BM92" i="11"/>
  <c r="BM36" i="11"/>
  <c r="BM82" i="11"/>
  <c r="BR76" i="11"/>
  <c r="BP199" i="11"/>
  <c r="BX199" i="11"/>
  <c r="BN110" i="11"/>
  <c r="BR110" i="11" s="1"/>
  <c r="BN120" i="11"/>
  <c r="BR120" i="11" s="1"/>
  <c r="BR145" i="11"/>
  <c r="BP179" i="11"/>
  <c r="AD5" i="11"/>
  <c r="BO133" i="11"/>
  <c r="BR133" i="11" s="1"/>
  <c r="BM125" i="11"/>
  <c r="BN125" i="11"/>
  <c r="BR125" i="11" s="1"/>
  <c r="BR128" i="11"/>
  <c r="BM206" i="11"/>
  <c r="BM118" i="11"/>
  <c r="BN118" i="11"/>
  <c r="BR118" i="11" s="1"/>
  <c r="BN86" i="11"/>
  <c r="BR86" i="11" s="1"/>
  <c r="BM86" i="11"/>
  <c r="BM129" i="11"/>
  <c r="BN129" i="11"/>
  <c r="BR129" i="11" s="1"/>
  <c r="BR123" i="11"/>
  <c r="BM106" i="11"/>
  <c r="BM65" i="11"/>
  <c r="BN65" i="11"/>
  <c r="BR65" i="11" s="1"/>
  <c r="AJ5" i="11"/>
  <c r="BM145" i="11"/>
  <c r="BR9" i="11"/>
  <c r="BM85" i="11"/>
  <c r="BR12" i="11"/>
  <c r="BM11" i="11"/>
  <c r="BN199" i="11"/>
  <c r="BM199" i="11"/>
  <c r="BS199" i="11"/>
  <c r="AE5" i="11"/>
  <c r="BN137" i="11"/>
  <c r="BR137" i="11" s="1"/>
  <c r="BM137" i="11"/>
  <c r="BN146" i="11"/>
  <c r="BR146" i="11" s="1"/>
  <c r="BM146" i="11"/>
  <c r="BM156" i="11"/>
  <c r="BM141" i="11"/>
  <c r="BN141" i="11"/>
  <c r="BR141" i="11" s="1"/>
  <c r="BM116" i="11"/>
  <c r="BN70" i="11"/>
  <c r="BR70" i="11" s="1"/>
  <c r="BM70" i="11"/>
  <c r="BN99" i="11"/>
  <c r="BR99" i="11" s="1"/>
  <c r="BN92" i="11"/>
  <c r="BR92" i="11" s="1"/>
  <c r="BN63" i="11"/>
  <c r="BR63" i="11" s="1"/>
  <c r="BM69" i="11"/>
  <c r="BN69" i="11"/>
  <c r="BR69" i="11" s="1"/>
  <c r="BM45" i="11"/>
  <c r="BN45" i="11"/>
  <c r="BR45" i="11" s="1"/>
  <c r="BN115" i="11"/>
  <c r="BR115" i="11" s="1"/>
  <c r="BN75" i="11"/>
  <c r="BR75" i="11" s="1"/>
  <c r="BN55" i="11"/>
  <c r="BR55" i="11" s="1"/>
  <c r="BN18" i="11"/>
  <c r="BR18" i="11" s="1"/>
  <c r="BM12" i="11"/>
  <c r="BM71" i="11"/>
  <c r="BM7" i="11"/>
  <c r="BR58" i="11"/>
  <c r="BM50" i="11"/>
  <c r="BM52" i="11"/>
  <c r="BN27" i="11"/>
  <c r="BR27" i="11" s="1"/>
  <c r="BO209" i="11"/>
  <c r="BM186" i="11"/>
  <c r="BM180" i="11"/>
  <c r="BS180" i="11"/>
  <c r="BN180" i="11"/>
  <c r="BO179" i="11"/>
  <c r="AB5" i="11"/>
  <c r="BM177" i="11"/>
  <c r="BR142" i="11"/>
  <c r="BN127" i="11"/>
  <c r="BR127" i="11" s="1"/>
  <c r="BM204" i="11"/>
  <c r="BM175" i="11"/>
  <c r="BN158" i="11"/>
  <c r="BR158" i="11" s="1"/>
  <c r="BM158" i="11"/>
  <c r="BN155" i="11"/>
  <c r="BR155" i="11" s="1"/>
  <c r="BM128" i="11"/>
  <c r="BN170" i="11"/>
  <c r="BR170" i="11" s="1"/>
  <c r="BM170" i="11"/>
  <c r="BR140" i="11"/>
  <c r="BN122" i="11"/>
  <c r="BR122" i="11" s="1"/>
  <c r="BM122" i="11"/>
  <c r="BN119" i="11"/>
  <c r="BR119" i="11" s="1"/>
  <c r="BR103" i="11"/>
  <c r="BN175" i="11"/>
  <c r="BR175" i="11" s="1"/>
  <c r="BM159" i="11"/>
  <c r="BM148" i="11"/>
  <c r="BS195" i="11"/>
  <c r="BM195" i="11"/>
  <c r="BN195" i="11"/>
  <c r="BS184" i="11"/>
  <c r="BN184" i="11"/>
  <c r="BM184" i="11"/>
  <c r="BN162" i="11"/>
  <c r="BR162" i="11" s="1"/>
  <c r="BM162" i="11"/>
  <c r="BN159" i="11"/>
  <c r="BR159" i="11" s="1"/>
  <c r="BM151" i="11"/>
  <c r="BR136" i="11"/>
  <c r="BR124" i="11"/>
  <c r="BM100" i="11"/>
  <c r="BM155" i="11"/>
  <c r="BM64" i="11"/>
  <c r="BR101" i="11"/>
  <c r="BN79" i="11"/>
  <c r="BR79" i="11" s="1"/>
  <c r="BM61" i="11"/>
  <c r="BN61" i="11"/>
  <c r="BR61" i="11" s="1"/>
  <c r="BM102" i="11"/>
  <c r="BN102" i="11"/>
  <c r="BR102" i="11" s="1"/>
  <c r="BN96" i="11"/>
  <c r="BR96" i="11" s="1"/>
  <c r="BM87" i="11"/>
  <c r="BR80" i="11"/>
  <c r="BM66" i="11"/>
  <c r="BN46" i="11"/>
  <c r="BR46" i="11" s="1"/>
  <c r="BM44" i="11"/>
  <c r="BM33" i="11"/>
  <c r="BN33" i="11"/>
  <c r="BR33" i="11" s="1"/>
  <c r="BM17" i="11"/>
  <c r="BN17" i="11"/>
  <c r="BR17" i="11" s="1"/>
  <c r="BN38" i="11"/>
  <c r="BR38" i="11" s="1"/>
  <c r="BM38" i="11"/>
  <c r="BM20" i="11"/>
  <c r="BM120" i="11"/>
  <c r="BM108" i="11"/>
  <c r="BN87" i="11"/>
  <c r="BR87" i="11" s="1"/>
  <c r="BM46" i="11"/>
  <c r="BN41" i="11"/>
  <c r="BR41" i="11" s="1"/>
  <c r="BM41" i="11"/>
  <c r="BN34" i="11"/>
  <c r="BR34" i="11" s="1"/>
  <c r="BN29" i="11"/>
  <c r="BR29" i="11" s="1"/>
  <c r="BM29" i="11"/>
  <c r="BN15" i="11"/>
  <c r="BR15" i="11" s="1"/>
  <c r="BR64" i="11"/>
  <c r="BN26" i="11"/>
  <c r="BR26" i="11" s="1"/>
  <c r="BM26" i="11"/>
  <c r="BN10" i="11"/>
  <c r="BR10" i="11" s="1"/>
  <c r="BM10" i="11"/>
  <c r="BM84" i="11"/>
  <c r="BR44" i="11"/>
  <c r="BM37" i="11"/>
  <c r="BM34" i="11"/>
  <c r="BM21" i="11"/>
  <c r="BN21" i="11"/>
  <c r="BR21" i="11" s="1"/>
  <c r="BO6" i="11"/>
  <c r="AF5" i="11"/>
  <c r="BM6" i="11"/>
  <c r="BN11" i="11"/>
  <c r="BR11" i="11" s="1"/>
  <c r="BR53" i="11"/>
  <c r="BN14" i="11"/>
  <c r="BR14" i="11" s="1"/>
  <c r="BM14" i="11"/>
  <c r="BS197" i="11"/>
  <c r="BM197" i="11"/>
  <c r="BN197" i="11"/>
  <c r="BR197" i="11" s="1"/>
  <c r="BS188" i="11"/>
  <c r="BN188" i="11"/>
  <c r="BM188" i="11"/>
  <c r="BN134" i="11"/>
  <c r="BR134" i="11" s="1"/>
  <c r="BM134" i="11"/>
  <c r="BS202" i="11"/>
  <c r="BN202" i="11"/>
  <c r="BR202" i="11" s="1"/>
  <c r="BM202" i="11"/>
  <c r="BM131" i="11"/>
  <c r="BN91" i="11"/>
  <c r="BR91" i="11" s="1"/>
  <c r="BM91" i="11"/>
  <c r="BN95" i="11"/>
  <c r="BR95" i="11" s="1"/>
  <c r="BM95" i="11"/>
  <c r="BN74" i="11"/>
  <c r="BR74" i="11" s="1"/>
  <c r="BM74" i="11"/>
  <c r="BN111" i="11"/>
  <c r="BR111" i="11" s="1"/>
  <c r="BM111" i="11"/>
  <c r="BN13" i="11"/>
  <c r="BR13" i="11" s="1"/>
  <c r="BM13" i="11"/>
  <c r="BM81" i="11"/>
  <c r="BN81" i="11"/>
  <c r="BR81" i="11" s="1"/>
  <c r="BP6" i="11"/>
  <c r="AK5" i="11"/>
  <c r="BM56" i="11"/>
  <c r="BN189" i="11"/>
  <c r="BR189" i="11" s="1"/>
  <c r="BM189" i="11"/>
  <c r="BS189" i="11"/>
  <c r="BO169" i="11"/>
  <c r="BR169" i="11" s="1"/>
  <c r="BR130" i="11"/>
  <c r="BN143" i="11"/>
  <c r="BR143" i="11" s="1"/>
  <c r="BN163" i="11"/>
  <c r="BR163" i="11" s="1"/>
  <c r="BN138" i="11"/>
  <c r="BR138" i="11" s="1"/>
  <c r="BN114" i="11"/>
  <c r="BR114" i="11" s="1"/>
  <c r="BM114" i="11"/>
  <c r="BM98" i="11"/>
  <c r="BN98" i="11"/>
  <c r="BR98" i="11" s="1"/>
  <c r="BN181" i="11"/>
  <c r="BM181" i="11"/>
  <c r="BS181" i="11"/>
  <c r="BS187" i="11"/>
  <c r="BM187" i="11"/>
  <c r="BN187" i="11"/>
  <c r="BM147" i="11"/>
  <c r="BN67" i="11"/>
  <c r="BR67" i="11" s="1"/>
  <c r="BN150" i="11"/>
  <c r="BR150" i="11" s="1"/>
  <c r="BM150" i="11"/>
  <c r="BM99" i="11"/>
  <c r="BM88" i="11"/>
  <c r="BM35" i="11"/>
  <c r="BM89" i="11"/>
  <c r="BM68" i="11"/>
  <c r="BM93" i="11"/>
  <c r="BN59" i="11"/>
  <c r="BR59" i="11" s="1"/>
  <c r="BN23" i="11"/>
  <c r="BR23" i="11" s="1"/>
  <c r="BM18" i="11"/>
  <c r="BN39" i="11"/>
  <c r="BR39" i="11" s="1"/>
  <c r="BM75" i="11"/>
  <c r="BR42" i="11"/>
  <c r="BR28" i="11"/>
  <c r="BM24" i="11"/>
  <c r="BM213" i="11"/>
  <c r="BS183" i="11"/>
  <c r="BM183" i="11"/>
  <c r="BN183" i="11"/>
  <c r="BM208" i="11"/>
  <c r="BS201" i="11"/>
  <c r="BM201" i="11"/>
  <c r="BN201" i="11"/>
  <c r="BR166" i="11"/>
  <c r="BR213" i="11"/>
  <c r="BR206" i="11"/>
  <c r="BN203" i="11"/>
  <c r="BM203" i="11"/>
  <c r="BS203" i="11"/>
  <c r="BN193" i="11"/>
  <c r="BR193" i="11" s="1"/>
  <c r="BM193" i="11"/>
  <c r="BS193" i="11"/>
  <c r="BN185" i="11"/>
  <c r="BR185" i="11" s="1"/>
  <c r="BM185" i="11"/>
  <c r="BS185" i="11"/>
  <c r="BN207" i="11"/>
  <c r="BR207" i="11" s="1"/>
  <c r="BM190" i="11"/>
  <c r="BM205" i="11"/>
  <c r="BN205" i="11"/>
  <c r="BR205" i="11" s="1"/>
  <c r="BS179" i="11"/>
  <c r="BN179" i="11"/>
  <c r="BM179" i="11"/>
  <c r="Y5" i="11"/>
  <c r="BN198" i="11"/>
  <c r="BM198" i="11"/>
  <c r="BS196" i="11"/>
  <c r="BN196" i="11"/>
  <c r="BM196" i="11"/>
  <c r="BN139" i="11"/>
  <c r="BR139" i="11" s="1"/>
  <c r="BO121" i="11"/>
  <c r="BR121" i="11" s="1"/>
  <c r="BN211" i="11"/>
  <c r="BR211" i="11" s="1"/>
  <c r="BS191" i="11"/>
  <c r="BM191" i="11"/>
  <c r="BN191" i="11"/>
  <c r="BR172" i="11"/>
  <c r="BN167" i="11"/>
  <c r="BR167" i="11" s="1"/>
  <c r="BM140" i="11"/>
  <c r="BN174" i="11"/>
  <c r="BR174" i="11" s="1"/>
  <c r="BM174" i="11"/>
  <c r="BM160" i="11"/>
  <c r="BN153" i="11"/>
  <c r="BR153" i="11" s="1"/>
  <c r="BR152" i="11"/>
  <c r="BN126" i="11"/>
  <c r="BR126" i="11" s="1"/>
  <c r="BN165" i="11"/>
  <c r="BR165" i="11" s="1"/>
  <c r="BR209" i="11"/>
  <c r="BO184" i="11"/>
  <c r="AC5" i="11"/>
  <c r="BM154" i="11"/>
  <c r="BM117" i="11"/>
  <c r="BN107" i="11"/>
  <c r="BR107" i="11" s="1"/>
  <c r="BM107" i="11"/>
  <c r="BN104" i="11"/>
  <c r="BR104" i="11" s="1"/>
  <c r="BM165" i="11"/>
  <c r="BN210" i="11"/>
  <c r="BR210" i="11" s="1"/>
  <c r="BM210" i="11"/>
  <c r="BS192" i="11"/>
  <c r="BN192" i="11"/>
  <c r="BM192" i="11"/>
  <c r="BN171" i="11"/>
  <c r="BR171" i="11" s="1"/>
  <c r="BM79" i="11"/>
  <c r="BM138" i="11"/>
  <c r="BM130" i="11"/>
  <c r="BR113" i="11"/>
  <c r="BM77" i="11"/>
  <c r="BN77" i="11"/>
  <c r="BR77" i="11" s="1"/>
  <c r="BM60" i="11"/>
  <c r="BN50" i="11"/>
  <c r="BR50" i="11" s="1"/>
  <c r="BN47" i="11"/>
  <c r="BR47" i="11" s="1"/>
  <c r="BN135" i="11"/>
  <c r="BR135" i="11" s="1"/>
  <c r="BM126" i="11"/>
  <c r="BM59" i="11"/>
  <c r="BM32" i="11"/>
  <c r="BN22" i="11"/>
  <c r="BR22" i="11" s="1"/>
  <c r="BM22" i="11"/>
  <c r="BM16" i="11"/>
  <c r="BN147" i="11"/>
  <c r="BR147" i="11" s="1"/>
  <c r="BM105" i="11"/>
  <c r="BM19" i="11"/>
  <c r="BM142" i="11"/>
  <c r="BM123" i="11"/>
  <c r="BM119" i="11"/>
  <c r="BN112" i="11"/>
  <c r="BR112" i="11" s="1"/>
  <c r="BM96" i="11"/>
  <c r="BM78" i="11"/>
  <c r="BM72" i="11"/>
  <c r="BN43" i="11"/>
  <c r="BR43" i="11" s="1"/>
  <c r="BM40" i="11"/>
  <c r="BN31" i="11"/>
  <c r="BR31" i="11" s="1"/>
  <c r="BM28" i="11"/>
  <c r="BN6" i="11"/>
  <c r="AI5" i="11"/>
  <c r="BM83" i="11"/>
  <c r="BN51" i="11"/>
  <c r="BR51" i="11" s="1"/>
  <c r="BM109" i="11"/>
  <c r="BR37" i="11"/>
  <c r="BM27" i="11"/>
  <c r="AL5" i="11"/>
  <c r="BN54" i="11"/>
  <c r="BR54" i="11" s="1"/>
  <c r="BM54" i="11"/>
  <c r="BR40" i="11"/>
  <c r="BN30" i="11"/>
  <c r="BR30" i="11" s="1"/>
  <c r="BM67" i="11"/>
  <c r="B240" i="5" l="1"/>
  <c r="BR196" i="11"/>
  <c r="BR203" i="11"/>
  <c r="BR201" i="11"/>
  <c r="BR181" i="11"/>
  <c r="BR195" i="11"/>
  <c r="BR187" i="11"/>
  <c r="BR183" i="11"/>
  <c r="BR180" i="11"/>
  <c r="BV5" i="11"/>
  <c r="BW28" i="11" s="1"/>
  <c r="BR179" i="11"/>
  <c r="BR188" i="11"/>
  <c r="BP5" i="11"/>
  <c r="BR191" i="11"/>
  <c r="BR192" i="11"/>
  <c r="BR198" i="11"/>
  <c r="BR199" i="11"/>
  <c r="BS5" i="11"/>
  <c r="BU22" i="11" s="1"/>
  <c r="BR204" i="11"/>
  <c r="BR190" i="11"/>
  <c r="BW125" i="11"/>
  <c r="BW25" i="11"/>
  <c r="BW199" i="11"/>
  <c r="BW136" i="11"/>
  <c r="BW61" i="11"/>
  <c r="BW73" i="11"/>
  <c r="BW113" i="11"/>
  <c r="BW189" i="11"/>
  <c r="BR184" i="11"/>
  <c r="BW60" i="11"/>
  <c r="BW6" i="11"/>
  <c r="BW41" i="11"/>
  <c r="BW183" i="11"/>
  <c r="BW195" i="11"/>
  <c r="BW169" i="11"/>
  <c r="BW7" i="11"/>
  <c r="BW109" i="11"/>
  <c r="BW13" i="11"/>
  <c r="BW79" i="11"/>
  <c r="BW143" i="11"/>
  <c r="BW172" i="11"/>
  <c r="BW120" i="11"/>
  <c r="BW208" i="11"/>
  <c r="BW123" i="11"/>
  <c r="BW80" i="11"/>
  <c r="BW37" i="11"/>
  <c r="BW174" i="11"/>
  <c r="BW142" i="11"/>
  <c r="BW110" i="11"/>
  <c r="BW46" i="11"/>
  <c r="BW14" i="11"/>
  <c r="BW149" i="11"/>
  <c r="BW130" i="11"/>
  <c r="BW45" i="11"/>
  <c r="BW35" i="11"/>
  <c r="BW81" i="11"/>
  <c r="BW159" i="11"/>
  <c r="BW23" i="11"/>
  <c r="BW127" i="11"/>
  <c r="BW68" i="11"/>
  <c r="BW100" i="11"/>
  <c r="BW9" i="11"/>
  <c r="BW124" i="11"/>
  <c r="BW151" i="11"/>
  <c r="BW115" i="11"/>
  <c r="BW121" i="11"/>
  <c r="BW203" i="11"/>
  <c r="BW117" i="11"/>
  <c r="BW75" i="11"/>
  <c r="BW32" i="11"/>
  <c r="BW138" i="11"/>
  <c r="BW106" i="11"/>
  <c r="BW74" i="11"/>
  <c r="BV2" i="11"/>
  <c r="BW135" i="11"/>
  <c r="BW162" i="11"/>
  <c r="BW55" i="11"/>
  <c r="BW111" i="11"/>
  <c r="BW24" i="11"/>
  <c r="BW168" i="11"/>
  <c r="BW84" i="11"/>
  <c r="BW145" i="11"/>
  <c r="BW12" i="11"/>
  <c r="BW99" i="11"/>
  <c r="BW129" i="11"/>
  <c r="BW207" i="11"/>
  <c r="BW155" i="11"/>
  <c r="BW112" i="11"/>
  <c r="BW27" i="11"/>
  <c r="BW166" i="11"/>
  <c r="BW134" i="11"/>
  <c r="BW70" i="11"/>
  <c r="BW38" i="11"/>
  <c r="BW107" i="11"/>
  <c r="BW66" i="11"/>
  <c r="BW36" i="11"/>
  <c r="BW116" i="11"/>
  <c r="BW173" i="11"/>
  <c r="BW15" i="11"/>
  <c r="BW51" i="11"/>
  <c r="BW77" i="11"/>
  <c r="BW20" i="11"/>
  <c r="BW153" i="11"/>
  <c r="BW108" i="11"/>
  <c r="BW19" i="11"/>
  <c r="BW52" i="11"/>
  <c r="BW87" i="11"/>
  <c r="BW163" i="11"/>
  <c r="BW144" i="11"/>
  <c r="BW59" i="11"/>
  <c r="BW16" i="11"/>
  <c r="BW158" i="11"/>
  <c r="BW94" i="11"/>
  <c r="BW62" i="11"/>
  <c r="BW30" i="11"/>
  <c r="BW98" i="11"/>
  <c r="BW56" i="11"/>
  <c r="BW212" i="11"/>
  <c r="BW92" i="11"/>
  <c r="BW88" i="11"/>
  <c r="BW177" i="11"/>
  <c r="BW119" i="11"/>
  <c r="BW167" i="11"/>
  <c r="BW139" i="11"/>
  <c r="BW96" i="11"/>
  <c r="BW53" i="11"/>
  <c r="BW11" i="11"/>
  <c r="BW154" i="11"/>
  <c r="BW122" i="11"/>
  <c r="BW90" i="11"/>
  <c r="BW58" i="11"/>
  <c r="BW26" i="11"/>
  <c r="BW141" i="11"/>
  <c r="BW97" i="11"/>
  <c r="BW164" i="11"/>
  <c r="BW17" i="11"/>
  <c r="BW205" i="11"/>
  <c r="BW71" i="11"/>
  <c r="BW140" i="11"/>
  <c r="BW175" i="11"/>
  <c r="BW176" i="11"/>
  <c r="BW133" i="11"/>
  <c r="BW91" i="11"/>
  <c r="BW48" i="11"/>
  <c r="BW214" i="11"/>
  <c r="BW150" i="11"/>
  <c r="BW118" i="11"/>
  <c r="BW86" i="11"/>
  <c r="BW54" i="11"/>
  <c r="BW22" i="11"/>
  <c r="BW47" i="11"/>
  <c r="BW211" i="11"/>
  <c r="BW65" i="11"/>
  <c r="BW39" i="11"/>
  <c r="BW156" i="11"/>
  <c r="BW8" i="11"/>
  <c r="BW147" i="11"/>
  <c r="BW152" i="11"/>
  <c r="BW95" i="11"/>
  <c r="BW171" i="11"/>
  <c r="BW128" i="11"/>
  <c r="BW85" i="11"/>
  <c r="BW43" i="11"/>
  <c r="BW210" i="11"/>
  <c r="BW178" i="11"/>
  <c r="BW146" i="11"/>
  <c r="BW114" i="11"/>
  <c r="BW82" i="11"/>
  <c r="BW50" i="11"/>
  <c r="BW18" i="11"/>
  <c r="BW34" i="11"/>
  <c r="BW161" i="11"/>
  <c r="BW200" i="11"/>
  <c r="BW76" i="11"/>
  <c r="BW186" i="11"/>
  <c r="BW196" i="11"/>
  <c r="BW185" i="11"/>
  <c r="BW202" i="11"/>
  <c r="BW201" i="11"/>
  <c r="BW180" i="11"/>
  <c r="BW57" i="11"/>
  <c r="BW191" i="11"/>
  <c r="BW193" i="11"/>
  <c r="BW44" i="11"/>
  <c r="BW40" i="11"/>
  <c r="BW190" i="11"/>
  <c r="BW194" i="11"/>
  <c r="BW182" i="11"/>
  <c r="BW204" i="11"/>
  <c r="BW148" i="11"/>
  <c r="BW213" i="11"/>
  <c r="BW197" i="11"/>
  <c r="BX5" i="11"/>
  <c r="BY204" i="11" s="1"/>
  <c r="BW181" i="11"/>
  <c r="BW29" i="11"/>
  <c r="BW184" i="11"/>
  <c r="BR182" i="11"/>
  <c r="BW137" i="11"/>
  <c r="BW198" i="11"/>
  <c r="BU18" i="11"/>
  <c r="BU82" i="11"/>
  <c r="BU146" i="11"/>
  <c r="BU190" i="11"/>
  <c r="BU56" i="11"/>
  <c r="BU180" i="11"/>
  <c r="BU39" i="11"/>
  <c r="BU83" i="11"/>
  <c r="BU119" i="11"/>
  <c r="BU151" i="11"/>
  <c r="BU183" i="11"/>
  <c r="BU6" i="11"/>
  <c r="BU92" i="11"/>
  <c r="BU184" i="11"/>
  <c r="BU29" i="11"/>
  <c r="BU61" i="11"/>
  <c r="BU93" i="11"/>
  <c r="BU125" i="11"/>
  <c r="BU157" i="11"/>
  <c r="BU161" i="11"/>
  <c r="BU189" i="11"/>
  <c r="BU193" i="11"/>
  <c r="BU28" i="11"/>
  <c r="BU40" i="11"/>
  <c r="BU124" i="11"/>
  <c r="BU136" i="11"/>
  <c r="BR6" i="11"/>
  <c r="BN5" i="11"/>
  <c r="BM5" i="11"/>
  <c r="BO5" i="11"/>
  <c r="BP2" i="11"/>
  <c r="AG212" i="6"/>
  <c r="AF212" i="6"/>
  <c r="BR5" i="11" l="1"/>
  <c r="BW105" i="11"/>
  <c r="BW209" i="11"/>
  <c r="BW126" i="11"/>
  <c r="BW101" i="11"/>
  <c r="BW132" i="11"/>
  <c r="BW83" i="11"/>
  <c r="BW131" i="11"/>
  <c r="BW104" i="11"/>
  <c r="BW21" i="11"/>
  <c r="BW102" i="11"/>
  <c r="BW69" i="11"/>
  <c r="BW67" i="11"/>
  <c r="BW63" i="11"/>
  <c r="BW89" i="11"/>
  <c r="BW31" i="11"/>
  <c r="BW5" i="11" s="1"/>
  <c r="BW42" i="11"/>
  <c r="BW170" i="11"/>
  <c r="BW160" i="11"/>
  <c r="BW103" i="11"/>
  <c r="BW157" i="11"/>
  <c r="BW72" i="11"/>
  <c r="BW49" i="11"/>
  <c r="BW64" i="11"/>
  <c r="BW78" i="11"/>
  <c r="BW206" i="11"/>
  <c r="BW165" i="11"/>
  <c r="BW93" i="11"/>
  <c r="BW33" i="11"/>
  <c r="BW10" i="11"/>
  <c r="BW192" i="11"/>
  <c r="BW187" i="11"/>
  <c r="BW188" i="11"/>
  <c r="BW179" i="11"/>
  <c r="BU212" i="11"/>
  <c r="BU108" i="11"/>
  <c r="BU16" i="11"/>
  <c r="BU185" i="11"/>
  <c r="BU153" i="11"/>
  <c r="BU121" i="11"/>
  <c r="BU89" i="11"/>
  <c r="BU57" i="11"/>
  <c r="BU25" i="11"/>
  <c r="BU172" i="11"/>
  <c r="BU80" i="11"/>
  <c r="BU211" i="11"/>
  <c r="BU179" i="11"/>
  <c r="BU147" i="11"/>
  <c r="BU115" i="11"/>
  <c r="BU75" i="11"/>
  <c r="BU35" i="11"/>
  <c r="BU168" i="11"/>
  <c r="BU36" i="11"/>
  <c r="BU186" i="11"/>
  <c r="BU138" i="11"/>
  <c r="BU74" i="11"/>
  <c r="BU10" i="11"/>
  <c r="BU196" i="11"/>
  <c r="BU96" i="11"/>
  <c r="BU213" i="11"/>
  <c r="BU181" i="11"/>
  <c r="BU149" i="11"/>
  <c r="BU117" i="11"/>
  <c r="BU85" i="11"/>
  <c r="BU53" i="11"/>
  <c r="BU21" i="11"/>
  <c r="BU160" i="11"/>
  <c r="BU68" i="11"/>
  <c r="BU207" i="11"/>
  <c r="BU175" i="11"/>
  <c r="BU143" i="11"/>
  <c r="BU111" i="11"/>
  <c r="BU71" i="11"/>
  <c r="BU27" i="11"/>
  <c r="BU156" i="11"/>
  <c r="BU24" i="11"/>
  <c r="BU178" i="11"/>
  <c r="BU130" i="11"/>
  <c r="BU66" i="11"/>
  <c r="BU188" i="11"/>
  <c r="BU17" i="11"/>
  <c r="BU67" i="11"/>
  <c r="BU58" i="11"/>
  <c r="BU84" i="11"/>
  <c r="BU113" i="11"/>
  <c r="BU49" i="11"/>
  <c r="BU60" i="11"/>
  <c r="BU139" i="11"/>
  <c r="BU132" i="11"/>
  <c r="BU122" i="11"/>
  <c r="BU176" i="11"/>
  <c r="BU76" i="11"/>
  <c r="BU205" i="11"/>
  <c r="BU173" i="11"/>
  <c r="BU141" i="11"/>
  <c r="BU109" i="11"/>
  <c r="BU77" i="11"/>
  <c r="BU45" i="11"/>
  <c r="BU13" i="11"/>
  <c r="BU140" i="11"/>
  <c r="BU44" i="11"/>
  <c r="BU199" i="11"/>
  <c r="BU167" i="11"/>
  <c r="BU135" i="11"/>
  <c r="BU103" i="11"/>
  <c r="BU59" i="11"/>
  <c r="BU19" i="11"/>
  <c r="BU120" i="11"/>
  <c r="BU210" i="11"/>
  <c r="BU170" i="11"/>
  <c r="BU114" i="11"/>
  <c r="BU50" i="11"/>
  <c r="BU209" i="11"/>
  <c r="BU145" i="11"/>
  <c r="BU81" i="11"/>
  <c r="BU148" i="11"/>
  <c r="BU171" i="11"/>
  <c r="BU107" i="11"/>
  <c r="BU23" i="11"/>
  <c r="BU8" i="11"/>
  <c r="BU174" i="11"/>
  <c r="BU164" i="11"/>
  <c r="BU169" i="11"/>
  <c r="BU105" i="11"/>
  <c r="BU73" i="11"/>
  <c r="BU9" i="11"/>
  <c r="BU128" i="11"/>
  <c r="BU32" i="11"/>
  <c r="BU195" i="11"/>
  <c r="BU163" i="11"/>
  <c r="BU131" i="11"/>
  <c r="BU99" i="11"/>
  <c r="BU55" i="11"/>
  <c r="BU11" i="11"/>
  <c r="BU112" i="11"/>
  <c r="BU206" i="11"/>
  <c r="BU162" i="11"/>
  <c r="BU106" i="11"/>
  <c r="BU42" i="11"/>
  <c r="BU177" i="11"/>
  <c r="BU203" i="11"/>
  <c r="BU64" i="11"/>
  <c r="BU201" i="11"/>
  <c r="BU137" i="11"/>
  <c r="BU41" i="11"/>
  <c r="BU152" i="11"/>
  <c r="BU52" i="11"/>
  <c r="BU197" i="11"/>
  <c r="BU165" i="11"/>
  <c r="BU133" i="11"/>
  <c r="BU101" i="11"/>
  <c r="BU69" i="11"/>
  <c r="BU37" i="11"/>
  <c r="BU208" i="11"/>
  <c r="BU116" i="11"/>
  <c r="BU20" i="11"/>
  <c r="BU191" i="11"/>
  <c r="BU159" i="11"/>
  <c r="BU127" i="11"/>
  <c r="BU91" i="11"/>
  <c r="BU51" i="11"/>
  <c r="BU7" i="11"/>
  <c r="BU88" i="11"/>
  <c r="BU202" i="11"/>
  <c r="BU158" i="11"/>
  <c r="BU98" i="11"/>
  <c r="BU34" i="11"/>
  <c r="BU129" i="11"/>
  <c r="BU97" i="11"/>
  <c r="BU65" i="11"/>
  <c r="BU33" i="11"/>
  <c r="BU200" i="11"/>
  <c r="BU104" i="11"/>
  <c r="BU12" i="11"/>
  <c r="BU187" i="11"/>
  <c r="BU155" i="11"/>
  <c r="BU123" i="11"/>
  <c r="BU87" i="11"/>
  <c r="BU43" i="11"/>
  <c r="BU204" i="11"/>
  <c r="BU72" i="11"/>
  <c r="BU194" i="11"/>
  <c r="BU154" i="11"/>
  <c r="BU90" i="11"/>
  <c r="BU26" i="11"/>
  <c r="BY201" i="11"/>
  <c r="BY180" i="11"/>
  <c r="BY190" i="11"/>
  <c r="BY188" i="11"/>
  <c r="BY181" i="11"/>
  <c r="BU142" i="11"/>
  <c r="BU110" i="11"/>
  <c r="BU78" i="11"/>
  <c r="BU46" i="11"/>
  <c r="BU14" i="11"/>
  <c r="BY199" i="11"/>
  <c r="BY203" i="11"/>
  <c r="BY198" i="11"/>
  <c r="AH212" i="6"/>
  <c r="BU79" i="11"/>
  <c r="BU47" i="11"/>
  <c r="BU15" i="11"/>
  <c r="BU144" i="11"/>
  <c r="BU48" i="11"/>
  <c r="BU198" i="11"/>
  <c r="BU166" i="11"/>
  <c r="BU134" i="11"/>
  <c r="BU102" i="11"/>
  <c r="BU70" i="11"/>
  <c r="BU38" i="11"/>
  <c r="BY186" i="11"/>
  <c r="BY191" i="11"/>
  <c r="BU126" i="11"/>
  <c r="BU94" i="11"/>
  <c r="BU62" i="11"/>
  <c r="BU30" i="11"/>
  <c r="BY195" i="11"/>
  <c r="BY196" i="11"/>
  <c r="BU95" i="11"/>
  <c r="BU63" i="11"/>
  <c r="BU31" i="11"/>
  <c r="BU192" i="11"/>
  <c r="BU100" i="11"/>
  <c r="BU214" i="11"/>
  <c r="BU182" i="11"/>
  <c r="BU150" i="11"/>
  <c r="BU118" i="11"/>
  <c r="BU86" i="11"/>
  <c r="BU54" i="11"/>
  <c r="BX2" i="11"/>
  <c r="BY14" i="11"/>
  <c r="BY13" i="11"/>
  <c r="BY46" i="11"/>
  <c r="BY78" i="11"/>
  <c r="BY110" i="11"/>
  <c r="BY142" i="11"/>
  <c r="BY174" i="11"/>
  <c r="BY206" i="11"/>
  <c r="BY21" i="11"/>
  <c r="BY53" i="11"/>
  <c r="BY85" i="11"/>
  <c r="BY117" i="11"/>
  <c r="BY149" i="11"/>
  <c r="BY22" i="11"/>
  <c r="BY54" i="11"/>
  <c r="BY86" i="11"/>
  <c r="BY118" i="11"/>
  <c r="BY150" i="11"/>
  <c r="BY29" i="11"/>
  <c r="BY61" i="11"/>
  <c r="BY93" i="11"/>
  <c r="BY125" i="11"/>
  <c r="BY157" i="11"/>
  <c r="BY30" i="11"/>
  <c r="BY62" i="11"/>
  <c r="BY94" i="11"/>
  <c r="BY126" i="11"/>
  <c r="BY158" i="11"/>
  <c r="BY37" i="11"/>
  <c r="BY69" i="11"/>
  <c r="BY101" i="11"/>
  <c r="BY133" i="11"/>
  <c r="BY165" i="11"/>
  <c r="BY38" i="11"/>
  <c r="BY70" i="11"/>
  <c r="BY102" i="11"/>
  <c r="BY134" i="11"/>
  <c r="BY166" i="11"/>
  <c r="BY45" i="11"/>
  <c r="BY77" i="11"/>
  <c r="BY109" i="11"/>
  <c r="BY141" i="11"/>
  <c r="BY173" i="11"/>
  <c r="BY205" i="11"/>
  <c r="BY123" i="11"/>
  <c r="BY59" i="11"/>
  <c r="BY130" i="11"/>
  <c r="BY66" i="11"/>
  <c r="BY177" i="11"/>
  <c r="BY113" i="11"/>
  <c r="BY49" i="11"/>
  <c r="BY136" i="11"/>
  <c r="BY72" i="11"/>
  <c r="BY127" i="11"/>
  <c r="BY63" i="11"/>
  <c r="BY140" i="11"/>
  <c r="BY76" i="11"/>
  <c r="BY12" i="11"/>
  <c r="BY176" i="11"/>
  <c r="BY115" i="11"/>
  <c r="BY51" i="11"/>
  <c r="BY212" i="11"/>
  <c r="BY122" i="11"/>
  <c r="BY58" i="11"/>
  <c r="BY169" i="11"/>
  <c r="BY105" i="11"/>
  <c r="BY41" i="11"/>
  <c r="BY128" i="11"/>
  <c r="BY64" i="11"/>
  <c r="BY209" i="11"/>
  <c r="BY119" i="11"/>
  <c r="BY55" i="11"/>
  <c r="BY132" i="11"/>
  <c r="BY68" i="11"/>
  <c r="BY89" i="11"/>
  <c r="BY116" i="11"/>
  <c r="BY171" i="11"/>
  <c r="BY107" i="11"/>
  <c r="BY43" i="11"/>
  <c r="BY178" i="11"/>
  <c r="BY114" i="11"/>
  <c r="BY50" i="11"/>
  <c r="BY161" i="11"/>
  <c r="BY97" i="11"/>
  <c r="BY33" i="11"/>
  <c r="BY210" i="11"/>
  <c r="BY120" i="11"/>
  <c r="BY56" i="11"/>
  <c r="BY175" i="11"/>
  <c r="BY111" i="11"/>
  <c r="BY47" i="11"/>
  <c r="BY124" i="11"/>
  <c r="BY60" i="11"/>
  <c r="BY153" i="11"/>
  <c r="BY167" i="11"/>
  <c r="BY6" i="11"/>
  <c r="BY163" i="11"/>
  <c r="BY99" i="11"/>
  <c r="BY35" i="11"/>
  <c r="BY170" i="11"/>
  <c r="BY106" i="11"/>
  <c r="BY42" i="11"/>
  <c r="BY155" i="11"/>
  <c r="BY91" i="11"/>
  <c r="BY27" i="11"/>
  <c r="BY162" i="11"/>
  <c r="BY98" i="11"/>
  <c r="BY34" i="11"/>
  <c r="BY145" i="11"/>
  <c r="BY81" i="11"/>
  <c r="BY17" i="11"/>
  <c r="BY168" i="11"/>
  <c r="BY104" i="11"/>
  <c r="BY40" i="11"/>
  <c r="BY159" i="11"/>
  <c r="BY95" i="11"/>
  <c r="BY31" i="11"/>
  <c r="BY208" i="11"/>
  <c r="BY172" i="11"/>
  <c r="BY108" i="11"/>
  <c r="BY44" i="11"/>
  <c r="BY147" i="11"/>
  <c r="BY83" i="11"/>
  <c r="BY19" i="11"/>
  <c r="BY154" i="11"/>
  <c r="BY90" i="11"/>
  <c r="BY26" i="11"/>
  <c r="BY137" i="11"/>
  <c r="BY73" i="11"/>
  <c r="BY9" i="11"/>
  <c r="BY160" i="11"/>
  <c r="BY96" i="11"/>
  <c r="BY32" i="11"/>
  <c r="BY151" i="11"/>
  <c r="BY87" i="11"/>
  <c r="BY23" i="11"/>
  <c r="BY164" i="11"/>
  <c r="BY100" i="11"/>
  <c r="BY36" i="11"/>
  <c r="BY8" i="11"/>
  <c r="BY112" i="11"/>
  <c r="BY39" i="11"/>
  <c r="BY139" i="11"/>
  <c r="BY75" i="11"/>
  <c r="BY11" i="11"/>
  <c r="BY146" i="11"/>
  <c r="BY82" i="11"/>
  <c r="BY18" i="11"/>
  <c r="BY129" i="11"/>
  <c r="BY65" i="11"/>
  <c r="BY152" i="11"/>
  <c r="BY88" i="11"/>
  <c r="BY24" i="11"/>
  <c r="BY143" i="11"/>
  <c r="BY79" i="11"/>
  <c r="BY15" i="11"/>
  <c r="BY156" i="11"/>
  <c r="BY92" i="11"/>
  <c r="BY28" i="11"/>
  <c r="BY25" i="11"/>
  <c r="BY103" i="11"/>
  <c r="BY52" i="11"/>
  <c r="BY131" i="11"/>
  <c r="BY67" i="11"/>
  <c r="BY138" i="11"/>
  <c r="BY74" i="11"/>
  <c r="BY10" i="11"/>
  <c r="BY211" i="11"/>
  <c r="BY121" i="11"/>
  <c r="BY57" i="11"/>
  <c r="BY144" i="11"/>
  <c r="BY80" i="11"/>
  <c r="BY16" i="11"/>
  <c r="BY135" i="11"/>
  <c r="BY71" i="11"/>
  <c r="BY7" i="11"/>
  <c r="BY207" i="11"/>
  <c r="BY148" i="11"/>
  <c r="BY84" i="11"/>
  <c r="BY20" i="11"/>
  <c r="BY48" i="11"/>
  <c r="BY189" i="11"/>
  <c r="BY179" i="11"/>
  <c r="BY213" i="11"/>
  <c r="BY214" i="11"/>
  <c r="BY185" i="11"/>
  <c r="BY193" i="11"/>
  <c r="BY202" i="11"/>
  <c r="BY184" i="11"/>
  <c r="BY182" i="11"/>
  <c r="BY192" i="11"/>
  <c r="BY187" i="11"/>
  <c r="BY200" i="11"/>
  <c r="BY197" i="11"/>
  <c r="BY183" i="11"/>
  <c r="BY194" i="11"/>
  <c r="BO2" i="11"/>
  <c r="BN2" i="11"/>
  <c r="BS2" i="11"/>
  <c r="CJ3" i="6"/>
  <c r="CL3" i="6" s="1"/>
  <c r="CN3" i="6" s="1"/>
  <c r="CP3" i="6" s="1"/>
  <c r="CI3" i="6"/>
  <c r="CK3" i="6" s="1"/>
  <c r="CM3" i="6" s="1"/>
  <c r="CO3" i="6" s="1"/>
  <c r="CQ3" i="6" s="1"/>
  <c r="BW3" i="6"/>
  <c r="BY3" i="6" s="1"/>
  <c r="CA3" i="6" s="1"/>
  <c r="CC3" i="6" s="1"/>
  <c r="BV3" i="6"/>
  <c r="BX3" i="6" s="1"/>
  <c r="BZ3" i="6" s="1"/>
  <c r="CB3" i="6" s="1"/>
  <c r="CD3" i="6" s="1"/>
  <c r="BJ3" i="6"/>
  <c r="BL3" i="6" s="1"/>
  <c r="BN3" i="6" s="1"/>
  <c r="BP3" i="6" s="1"/>
  <c r="BI3" i="6"/>
  <c r="BK3" i="6" s="1"/>
  <c r="BM3" i="6" s="1"/>
  <c r="BO3" i="6" s="1"/>
  <c r="BQ3" i="6" s="1"/>
  <c r="AW3" i="6"/>
  <c r="AY3" i="6" s="1"/>
  <c r="BA3" i="6" s="1"/>
  <c r="BC3" i="6" s="1"/>
  <c r="AV3" i="6"/>
  <c r="AX3" i="6" s="1"/>
  <c r="AZ3" i="6" s="1"/>
  <c r="BB3" i="6" s="1"/>
  <c r="BD3" i="6" s="1"/>
  <c r="BH2" i="3"/>
  <c r="BJ2" i="3" s="1"/>
  <c r="BL2" i="3" s="1"/>
  <c r="BG2" i="3"/>
  <c r="BI2" i="3" s="1"/>
  <c r="BK2" i="3" s="1"/>
  <c r="BM2" i="3" s="1"/>
  <c r="BU5" i="11" l="1"/>
  <c r="BY5" i="11"/>
  <c r="AV2" i="3"/>
  <c r="AX2" i="3" s="1"/>
  <c r="AZ2" i="3" s="1"/>
  <c r="BB2" i="3" s="1"/>
  <c r="AW2" i="3"/>
  <c r="AY2" i="3" s="1"/>
  <c r="BA2" i="3" s="1"/>
  <c r="CE2" i="3"/>
  <c r="CG2" i="3" s="1"/>
  <c r="CI2" i="3" s="1"/>
  <c r="CK2" i="3" s="1"/>
  <c r="CM2" i="3" s="1"/>
  <c r="CF2" i="3"/>
  <c r="CH2" i="3" s="1"/>
  <c r="CJ2" i="3" s="1"/>
  <c r="CL2" i="3" s="1"/>
  <c r="BR2" i="3"/>
  <c r="BT2" i="3" s="1"/>
  <c r="BV2" i="3" s="1"/>
  <c r="BX2" i="3" s="1"/>
  <c r="BS2" i="3"/>
  <c r="BU2" i="3" s="1"/>
  <c r="BW2" i="3" s="1"/>
  <c r="BY2" i="3" s="1"/>
  <c r="AM16" i="3"/>
  <c r="AM19" i="3" s="1"/>
  <c r="BZ2" i="3" l="1"/>
  <c r="L6" i="6" l="1"/>
  <c r="K6" i="6"/>
  <c r="L6" i="3" l="1"/>
  <c r="K6" i="3"/>
  <c r="C262" i="5" l="1"/>
  <c r="C261" i="5"/>
  <c r="C263" i="5" l="1"/>
  <c r="A233" i="5"/>
  <c r="B237" i="5" l="1"/>
  <c r="C36" i="20" l="1"/>
  <c r="C26" i="20"/>
  <c r="C16" i="20"/>
  <c r="C273" i="19"/>
  <c r="F273" i="19"/>
  <c r="BE214" i="6" l="1"/>
  <c r="AF7" i="6"/>
  <c r="AF7" i="3"/>
  <c r="AG7" i="3" s="1"/>
  <c r="AH7" i="3" s="1"/>
  <c r="AI7" i="3" s="1"/>
  <c r="AG7" i="6" l="1"/>
  <c r="BC16" i="3"/>
  <c r="O7" i="3"/>
  <c r="N7" i="3"/>
  <c r="O7" i="6"/>
  <c r="N7" i="6"/>
  <c r="AH7" i="6" l="1"/>
  <c r="I211" i="6"/>
  <c r="G211" i="6"/>
  <c r="H211" i="6"/>
  <c r="AL16" i="3"/>
  <c r="AL19" i="3" s="1"/>
  <c r="AI7" i="6" l="1"/>
  <c r="B272" i="5"/>
  <c r="H16" i="3" l="1"/>
  <c r="G16" i="3"/>
  <c r="I16" i="3"/>
  <c r="A223" i="5" l="1"/>
  <c r="A224" i="5"/>
  <c r="A225" i="5"/>
  <c r="A226" i="5"/>
  <c r="A227" i="5"/>
  <c r="A228" i="5"/>
  <c r="A229" i="5"/>
  <c r="A222" i="5"/>
  <c r="A50" i="5"/>
  <c r="C66" i="20" s="1"/>
  <c r="A51" i="5"/>
  <c r="C67" i="20" s="1"/>
  <c r="A52" i="5"/>
  <c r="C68" i="20" s="1"/>
  <c r="A53" i="5"/>
  <c r="C69" i="20" s="1"/>
  <c r="A54" i="5"/>
  <c r="C70" i="20" s="1"/>
  <c r="A55" i="5"/>
  <c r="C71" i="20" s="1"/>
  <c r="A56" i="5"/>
  <c r="C72" i="20" s="1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49" i="5"/>
  <c r="C65" i="20" s="1"/>
  <c r="A42" i="5"/>
  <c r="A41" i="5"/>
  <c r="A40" i="5"/>
  <c r="A38" i="5"/>
  <c r="A39" i="5"/>
  <c r="A35" i="5"/>
  <c r="A36" i="5"/>
  <c r="A37" i="5"/>
  <c r="A34" i="5"/>
  <c r="A30" i="5"/>
  <c r="A31" i="5"/>
  <c r="A32" i="5"/>
  <c r="A33" i="5"/>
  <c r="A29" i="5"/>
  <c r="A8" i="5"/>
  <c r="A9" i="5"/>
  <c r="A10" i="5"/>
  <c r="A11" i="5"/>
  <c r="A12" i="5"/>
  <c r="A7" i="5"/>
  <c r="A21" i="5"/>
  <c r="A22" i="5"/>
  <c r="A23" i="5"/>
  <c r="A24" i="5"/>
  <c r="A20" i="5"/>
  <c r="A19" i="5"/>
  <c r="A210" i="6"/>
  <c r="B210" i="6"/>
  <c r="A205" i="6"/>
  <c r="B205" i="6"/>
  <c r="A206" i="6"/>
  <c r="B206" i="6"/>
  <c r="A207" i="6"/>
  <c r="B207" i="6"/>
  <c r="A208" i="6"/>
  <c r="B208" i="6"/>
  <c r="A209" i="6"/>
  <c r="B209" i="6"/>
  <c r="A203" i="6"/>
  <c r="B203" i="6"/>
  <c r="A204" i="6"/>
  <c r="B204" i="6"/>
  <c r="B202" i="6"/>
  <c r="A202" i="6"/>
  <c r="B198" i="6"/>
  <c r="B199" i="6"/>
  <c r="B200" i="6"/>
  <c r="B201" i="6"/>
  <c r="A201" i="6"/>
  <c r="A198" i="6"/>
  <c r="A199" i="6"/>
  <c r="A200" i="6"/>
  <c r="A197" i="6"/>
  <c r="B197" i="6"/>
  <c r="B196" i="6"/>
  <c r="A196" i="6"/>
  <c r="B195" i="6"/>
  <c r="A195" i="6"/>
  <c r="B194" i="6"/>
  <c r="A194" i="6"/>
  <c r="B192" i="6"/>
  <c r="B193" i="6"/>
  <c r="A192" i="6"/>
  <c r="A193" i="6"/>
  <c r="B189" i="6"/>
  <c r="B190" i="6"/>
  <c r="B191" i="6"/>
  <c r="A189" i="6"/>
  <c r="A190" i="6"/>
  <c r="A191" i="6"/>
  <c r="B188" i="6"/>
  <c r="A188" i="6"/>
  <c r="A184" i="6"/>
  <c r="B184" i="6"/>
  <c r="A185" i="6"/>
  <c r="B185" i="6"/>
  <c r="A186" i="6"/>
  <c r="B186" i="6"/>
  <c r="A187" i="6"/>
  <c r="B187" i="6"/>
  <c r="A183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0" i="6"/>
  <c r="B183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0" i="6"/>
  <c r="A15" i="3"/>
  <c r="A11" i="3"/>
  <c r="A12" i="3"/>
  <c r="A13" i="3"/>
  <c r="A14" i="3"/>
  <c r="A10" i="3"/>
  <c r="B15" i="3"/>
  <c r="B11" i="3"/>
  <c r="B12" i="3"/>
  <c r="B13" i="3"/>
  <c r="B14" i="3"/>
  <c r="B10" i="3"/>
  <c r="C22" i="20" l="1"/>
  <c r="B16" i="19"/>
  <c r="C236" i="20"/>
  <c r="B258" i="19"/>
  <c r="C225" i="20"/>
  <c r="B247" i="19"/>
  <c r="C213" i="20"/>
  <c r="B235" i="19"/>
  <c r="C201" i="20"/>
  <c r="B218" i="19"/>
  <c r="C189" i="20"/>
  <c r="B206" i="19"/>
  <c r="C177" i="20"/>
  <c r="B189" i="19"/>
  <c r="C165" i="20"/>
  <c r="B177" i="19"/>
  <c r="C153" i="20"/>
  <c r="B165" i="19"/>
  <c r="C141" i="20"/>
  <c r="B148" i="19"/>
  <c r="C121" i="20"/>
  <c r="B123" i="19"/>
  <c r="C105" i="20"/>
  <c r="B107" i="19"/>
  <c r="C97" i="20"/>
  <c r="B99" i="19"/>
  <c r="C85" i="20"/>
  <c r="B82" i="19"/>
  <c r="C77" i="20"/>
  <c r="B74" i="19"/>
  <c r="C73" i="20"/>
  <c r="B70" i="19"/>
  <c r="B268" i="19"/>
  <c r="C241" i="20"/>
  <c r="C27" i="20"/>
  <c r="B25" i="19"/>
  <c r="C30" i="20"/>
  <c r="B28" i="19"/>
  <c r="C21" i="20"/>
  <c r="B15" i="19"/>
  <c r="B39" i="19"/>
  <c r="C37" i="20"/>
  <c r="C38" i="20"/>
  <c r="B40" i="19"/>
  <c r="C43" i="20"/>
  <c r="B45" i="19"/>
  <c r="C48" i="20"/>
  <c r="B50" i="19"/>
  <c r="B257" i="19"/>
  <c r="C235" i="20"/>
  <c r="B253" i="19"/>
  <c r="C231" i="20"/>
  <c r="B250" i="19"/>
  <c r="C228" i="20"/>
  <c r="B246" i="19"/>
  <c r="C224" i="20"/>
  <c r="B242" i="19"/>
  <c r="C220" i="20"/>
  <c r="B238" i="19"/>
  <c r="C216" i="20"/>
  <c r="B234" i="19"/>
  <c r="C212" i="20"/>
  <c r="B225" i="19"/>
  <c r="C208" i="20"/>
  <c r="B221" i="19"/>
  <c r="C204" i="20"/>
  <c r="B217" i="19"/>
  <c r="C200" i="20"/>
  <c r="B213" i="19"/>
  <c r="C196" i="20"/>
  <c r="B209" i="19"/>
  <c r="C192" i="20"/>
  <c r="B205" i="19"/>
  <c r="C188" i="20"/>
  <c r="B201" i="19"/>
  <c r="C184" i="20"/>
  <c r="B192" i="19"/>
  <c r="C180" i="20"/>
  <c r="B188" i="19"/>
  <c r="C176" i="20"/>
  <c r="B184" i="19"/>
  <c r="C172" i="20"/>
  <c r="B180" i="19"/>
  <c r="C168" i="20"/>
  <c r="B176" i="19"/>
  <c r="C164" i="20"/>
  <c r="B172" i="19"/>
  <c r="C160" i="20"/>
  <c r="B168" i="19"/>
  <c r="C156" i="20"/>
  <c r="B164" i="19"/>
  <c r="C152" i="20"/>
  <c r="B155" i="19"/>
  <c r="C148" i="20"/>
  <c r="B151" i="19"/>
  <c r="C144" i="20"/>
  <c r="B147" i="19"/>
  <c r="C140" i="20"/>
  <c r="B143" i="19"/>
  <c r="C136" i="20"/>
  <c r="B139" i="19"/>
  <c r="C132" i="20"/>
  <c r="B135" i="19"/>
  <c r="C128" i="20"/>
  <c r="B122" i="19"/>
  <c r="C120" i="20"/>
  <c r="B118" i="19"/>
  <c r="C116" i="20"/>
  <c r="C112" i="20"/>
  <c r="B114" i="19"/>
  <c r="C108" i="20"/>
  <c r="B110" i="19"/>
  <c r="C104" i="20"/>
  <c r="B106" i="19"/>
  <c r="C100" i="20"/>
  <c r="B102" i="19"/>
  <c r="C96" i="20"/>
  <c r="B98" i="19"/>
  <c r="C92" i="20"/>
  <c r="B89" i="19"/>
  <c r="C88" i="20"/>
  <c r="B85" i="19"/>
  <c r="C84" i="20"/>
  <c r="B81" i="19"/>
  <c r="C80" i="20"/>
  <c r="B77" i="19"/>
  <c r="C76" i="20"/>
  <c r="B73" i="19"/>
  <c r="B69" i="19"/>
  <c r="B62" i="19"/>
  <c r="C244" i="20"/>
  <c r="B271" i="19"/>
  <c r="C240" i="20"/>
  <c r="B267" i="19"/>
  <c r="C31" i="20"/>
  <c r="B29" i="19"/>
  <c r="C39" i="20"/>
  <c r="C229" i="20"/>
  <c r="B251" i="19"/>
  <c r="C221" i="20"/>
  <c r="B243" i="19"/>
  <c r="C205" i="20"/>
  <c r="B222" i="19"/>
  <c r="C193" i="20"/>
  <c r="B210" i="19"/>
  <c r="C181" i="20"/>
  <c r="B198" i="19"/>
  <c r="C169" i="20"/>
  <c r="B181" i="19"/>
  <c r="C157" i="20"/>
  <c r="B169" i="19"/>
  <c r="C149" i="20"/>
  <c r="B156" i="19"/>
  <c r="C137" i="20"/>
  <c r="B144" i="19"/>
  <c r="C129" i="20"/>
  <c r="B136" i="19"/>
  <c r="C117" i="20"/>
  <c r="B119" i="19"/>
  <c r="C109" i="20"/>
  <c r="B111" i="19"/>
  <c r="C93" i="20"/>
  <c r="B90" i="19"/>
  <c r="B63" i="19"/>
  <c r="C28" i="20"/>
  <c r="B26" i="19"/>
  <c r="C29" i="20"/>
  <c r="B27" i="19"/>
  <c r="C20" i="20"/>
  <c r="B14" i="19"/>
  <c r="C41" i="20"/>
  <c r="B43" i="19"/>
  <c r="C46" i="20"/>
  <c r="B48" i="19"/>
  <c r="B256" i="19"/>
  <c r="C234" i="20"/>
  <c r="B249" i="19"/>
  <c r="C227" i="20"/>
  <c r="B245" i="19"/>
  <c r="C223" i="20"/>
  <c r="B241" i="19"/>
  <c r="C219" i="20"/>
  <c r="B237" i="19"/>
  <c r="C215" i="20"/>
  <c r="B233" i="19"/>
  <c r="C211" i="20"/>
  <c r="B224" i="19"/>
  <c r="C207" i="20"/>
  <c r="B220" i="19"/>
  <c r="C203" i="20"/>
  <c r="B216" i="19"/>
  <c r="C199" i="20"/>
  <c r="B212" i="19"/>
  <c r="C195" i="20"/>
  <c r="B208" i="19"/>
  <c r="C191" i="20"/>
  <c r="B204" i="19"/>
  <c r="C187" i="20"/>
  <c r="B200" i="19"/>
  <c r="C183" i="20"/>
  <c r="B191" i="19"/>
  <c r="C179" i="20"/>
  <c r="B187" i="19"/>
  <c r="C175" i="20"/>
  <c r="B183" i="19"/>
  <c r="C171" i="20"/>
  <c r="B179" i="19"/>
  <c r="C167" i="20"/>
  <c r="B175" i="19"/>
  <c r="C163" i="20"/>
  <c r="B171" i="19"/>
  <c r="C159" i="20"/>
  <c r="B167" i="19"/>
  <c r="C155" i="20"/>
  <c r="B158" i="19"/>
  <c r="C151" i="20"/>
  <c r="B154" i="19"/>
  <c r="C147" i="20"/>
  <c r="B150" i="19"/>
  <c r="C143" i="20"/>
  <c r="B146" i="19"/>
  <c r="C139" i="20"/>
  <c r="B142" i="19"/>
  <c r="C135" i="20"/>
  <c r="B138" i="19"/>
  <c r="C131" i="20"/>
  <c r="B134" i="19"/>
  <c r="C127" i="20"/>
  <c r="B130" i="19"/>
  <c r="C123" i="20"/>
  <c r="B121" i="19"/>
  <c r="C119" i="20"/>
  <c r="C115" i="20"/>
  <c r="B117" i="19"/>
  <c r="C111" i="20"/>
  <c r="B113" i="19"/>
  <c r="C107" i="20"/>
  <c r="B109" i="19"/>
  <c r="C103" i="20"/>
  <c r="B105" i="19"/>
  <c r="C99" i="20"/>
  <c r="B101" i="19"/>
  <c r="C95" i="20"/>
  <c r="B97" i="19"/>
  <c r="C91" i="20"/>
  <c r="B88" i="19"/>
  <c r="C87" i="20"/>
  <c r="B84" i="19"/>
  <c r="C83" i="20"/>
  <c r="B80" i="19"/>
  <c r="C79" i="20"/>
  <c r="B76" i="19"/>
  <c r="C75" i="20"/>
  <c r="B72" i="19"/>
  <c r="B65" i="19"/>
  <c r="B61" i="19"/>
  <c r="B270" i="19"/>
  <c r="C243" i="20"/>
  <c r="B266" i="19"/>
  <c r="C239" i="20"/>
  <c r="C18" i="20"/>
  <c r="B12" i="19"/>
  <c r="C47" i="20"/>
  <c r="B49" i="19"/>
  <c r="C232" i="20"/>
  <c r="B254" i="19"/>
  <c r="C217" i="20"/>
  <c r="B239" i="19"/>
  <c r="C209" i="20"/>
  <c r="B226" i="19"/>
  <c r="C197" i="20"/>
  <c r="B214" i="19"/>
  <c r="C185" i="20"/>
  <c r="B202" i="19"/>
  <c r="C173" i="20"/>
  <c r="B185" i="19"/>
  <c r="C161" i="20"/>
  <c r="B173" i="19"/>
  <c r="C145" i="20"/>
  <c r="B152" i="19"/>
  <c r="C133" i="20"/>
  <c r="B140" i="19"/>
  <c r="C125" i="20"/>
  <c r="B132" i="19"/>
  <c r="C113" i="20"/>
  <c r="B115" i="19"/>
  <c r="C101" i="20"/>
  <c r="B103" i="19"/>
  <c r="C89" i="20"/>
  <c r="B86" i="19"/>
  <c r="C81" i="20"/>
  <c r="B78" i="19"/>
  <c r="B259" i="19"/>
  <c r="C237" i="20"/>
  <c r="C32" i="20"/>
  <c r="B30" i="19"/>
  <c r="C17" i="20"/>
  <c r="B11" i="19"/>
  <c r="B13" i="19"/>
  <c r="C19" i="20"/>
  <c r="C40" i="20"/>
  <c r="B42" i="19"/>
  <c r="C44" i="20"/>
  <c r="B46" i="19"/>
  <c r="C45" i="20"/>
  <c r="B47" i="19"/>
  <c r="B59" i="19"/>
  <c r="B255" i="19"/>
  <c r="C233" i="20"/>
  <c r="B252" i="19"/>
  <c r="C230" i="20"/>
  <c r="B248" i="19"/>
  <c r="C226" i="20"/>
  <c r="B244" i="19"/>
  <c r="C222" i="20"/>
  <c r="B240" i="19"/>
  <c r="C218" i="20"/>
  <c r="B236" i="19"/>
  <c r="C214" i="20"/>
  <c r="B232" i="19"/>
  <c r="C210" i="20"/>
  <c r="B223" i="19"/>
  <c r="C206" i="20"/>
  <c r="B219" i="19"/>
  <c r="C202" i="20"/>
  <c r="B215" i="19"/>
  <c r="C198" i="20"/>
  <c r="B211" i="19"/>
  <c r="C194" i="20"/>
  <c r="B207" i="19"/>
  <c r="C190" i="20"/>
  <c r="B203" i="19"/>
  <c r="C186" i="20"/>
  <c r="B199" i="19"/>
  <c r="C182" i="20"/>
  <c r="B190" i="19"/>
  <c r="C178" i="20"/>
  <c r="B186" i="19"/>
  <c r="C174" i="20"/>
  <c r="B182" i="19"/>
  <c r="C170" i="20"/>
  <c r="B178" i="19"/>
  <c r="C166" i="20"/>
  <c r="B174" i="19"/>
  <c r="C162" i="20"/>
  <c r="B170" i="19"/>
  <c r="C158" i="20"/>
  <c r="B166" i="19"/>
  <c r="C154" i="20"/>
  <c r="B157" i="19"/>
  <c r="C150" i="20"/>
  <c r="B153" i="19"/>
  <c r="C146" i="20"/>
  <c r="B149" i="19"/>
  <c r="C142" i="20"/>
  <c r="B145" i="19"/>
  <c r="C138" i="20"/>
  <c r="B141" i="19"/>
  <c r="C134" i="20"/>
  <c r="B137" i="19"/>
  <c r="C130" i="20"/>
  <c r="B133" i="19"/>
  <c r="C126" i="20"/>
  <c r="B124" i="19"/>
  <c r="C122" i="20"/>
  <c r="B120" i="19"/>
  <c r="C118" i="20"/>
  <c r="B116" i="19"/>
  <c r="C114" i="20"/>
  <c r="B112" i="19"/>
  <c r="C110" i="20"/>
  <c r="C106" i="20"/>
  <c r="B108" i="19"/>
  <c r="B104" i="19"/>
  <c r="C102" i="20"/>
  <c r="B100" i="19"/>
  <c r="C98" i="20"/>
  <c r="C94" i="20"/>
  <c r="B96" i="19"/>
  <c r="C90" i="20"/>
  <c r="B87" i="19"/>
  <c r="C86" i="20"/>
  <c r="B83" i="19"/>
  <c r="B79" i="19"/>
  <c r="C82" i="20"/>
  <c r="C78" i="20"/>
  <c r="B75" i="19"/>
  <c r="C74" i="20"/>
  <c r="B71" i="19"/>
  <c r="B64" i="19"/>
  <c r="B60" i="19"/>
  <c r="B269" i="19"/>
  <c r="C242" i="20"/>
  <c r="B265" i="19"/>
  <c r="C238" i="20"/>
  <c r="BT198" i="11"/>
  <c r="E263" i="11"/>
  <c r="D263" i="11"/>
  <c r="C263" i="11"/>
  <c r="U256" i="11"/>
  <c r="T256" i="11"/>
  <c r="V256" i="11" s="1"/>
  <c r="E256" i="11"/>
  <c r="D256" i="11"/>
  <c r="E249" i="11"/>
  <c r="D249" i="11"/>
  <c r="C249" i="11"/>
  <c r="N235" i="11"/>
  <c r="N239" i="11" s="1"/>
  <c r="N242" i="11" s="1"/>
  <c r="M235" i="11"/>
  <c r="M239" i="11" s="1"/>
  <c r="M242" i="11" s="1"/>
  <c r="L235" i="11"/>
  <c r="E235" i="11"/>
  <c r="D235" i="11"/>
  <c r="C235" i="11"/>
  <c r="M234" i="11"/>
  <c r="M238" i="11" s="1"/>
  <c r="M241" i="11" s="1"/>
  <c r="E234" i="11"/>
  <c r="E236" i="11" s="1"/>
  <c r="D234" i="11"/>
  <c r="C234" i="11"/>
  <c r="C226" i="11"/>
  <c r="D226" i="11" s="1"/>
  <c r="D225" i="11"/>
  <c r="I256" i="11"/>
  <c r="N234" i="11"/>
  <c r="N238" i="11" s="1"/>
  <c r="N241" i="11" s="1"/>
  <c r="BK3" i="11"/>
  <c r="BI3" i="11"/>
  <c r="BH3" i="11"/>
  <c r="BG3" i="11"/>
  <c r="BF3" i="11"/>
  <c r="BE3" i="11"/>
  <c r="BD3" i="11"/>
  <c r="BA3" i="11"/>
  <c r="AZ3" i="11"/>
  <c r="AX3" i="11"/>
  <c r="AW3" i="11"/>
  <c r="AV3" i="11"/>
  <c r="AU3" i="11"/>
  <c r="BB3" i="11"/>
  <c r="AO3" i="11"/>
  <c r="N243" i="11" l="1"/>
  <c r="D245" i="11"/>
  <c r="BT6" i="11"/>
  <c r="B49" i="5" s="1"/>
  <c r="F234" i="11"/>
  <c r="BL3" i="11"/>
  <c r="O234" i="11"/>
  <c r="O242" i="11" s="1"/>
  <c r="D276" i="5"/>
  <c r="C227" i="11"/>
  <c r="E245" i="11"/>
  <c r="F235" i="11"/>
  <c r="BT52" i="11"/>
  <c r="B95" i="5" s="1"/>
  <c r="AM3" i="11"/>
  <c r="BT182" i="11"/>
  <c r="B10" i="5" s="1"/>
  <c r="AY3" i="11"/>
  <c r="BT169" i="11"/>
  <c r="B212" i="5" s="1"/>
  <c r="BT60" i="11"/>
  <c r="B103" i="5" s="1"/>
  <c r="BT95" i="11"/>
  <c r="B138" i="5" s="1"/>
  <c r="BT171" i="11"/>
  <c r="B214" i="5" s="1"/>
  <c r="BT153" i="11"/>
  <c r="B196" i="5" s="1"/>
  <c r="BT8" i="11"/>
  <c r="B51" i="5" s="1"/>
  <c r="BT26" i="11"/>
  <c r="B69" i="5" s="1"/>
  <c r="BT20" i="11"/>
  <c r="B63" i="5" s="1"/>
  <c r="BT31" i="11"/>
  <c r="B74" i="5" s="1"/>
  <c r="BT36" i="11"/>
  <c r="B79" i="5" s="1"/>
  <c r="BT14" i="11"/>
  <c r="B57" i="5" s="1"/>
  <c r="BT25" i="11"/>
  <c r="B68" i="5" s="1"/>
  <c r="BT35" i="11"/>
  <c r="B78" i="5" s="1"/>
  <c r="BT39" i="11"/>
  <c r="B82" i="5" s="1"/>
  <c r="BT18" i="11"/>
  <c r="B61" i="5" s="1"/>
  <c r="BT12" i="11"/>
  <c r="B55" i="5" s="1"/>
  <c r="BT23" i="11"/>
  <c r="B66" i="5" s="1"/>
  <c r="BT33" i="11"/>
  <c r="B76" i="5" s="1"/>
  <c r="BT27" i="11"/>
  <c r="B70" i="5" s="1"/>
  <c r="BT41" i="11"/>
  <c r="B84" i="5" s="1"/>
  <c r="BT48" i="11"/>
  <c r="B91" i="5" s="1"/>
  <c r="BT49" i="11"/>
  <c r="B92" i="5" s="1"/>
  <c r="BT53" i="11"/>
  <c r="B96" i="5" s="1"/>
  <c r="BT56" i="11"/>
  <c r="B99" i="5" s="1"/>
  <c r="L234" i="11"/>
  <c r="L236" i="11" s="1"/>
  <c r="BT47" i="11"/>
  <c r="B90" i="5" s="1"/>
  <c r="BT46" i="11"/>
  <c r="B89" i="5" s="1"/>
  <c r="BT54" i="11"/>
  <c r="B97" i="5" s="1"/>
  <c r="BT67" i="11"/>
  <c r="B110" i="5" s="1"/>
  <c r="BT71" i="11"/>
  <c r="B114" i="5" s="1"/>
  <c r="BT84" i="11"/>
  <c r="B127" i="5" s="1"/>
  <c r="BT98" i="11"/>
  <c r="B141" i="5" s="1"/>
  <c r="BT106" i="11"/>
  <c r="B149" i="5" s="1"/>
  <c r="BT139" i="11"/>
  <c r="B182" i="5" s="1"/>
  <c r="BT145" i="11"/>
  <c r="B188" i="5" s="1"/>
  <c r="BT131" i="11"/>
  <c r="B174" i="5" s="1"/>
  <c r="BT116" i="11"/>
  <c r="B159" i="5" s="1"/>
  <c r="BT161" i="11"/>
  <c r="B204" i="5" s="1"/>
  <c r="BT128" i="11"/>
  <c r="B171" i="5" s="1"/>
  <c r="BT162" i="11"/>
  <c r="B205" i="5" s="1"/>
  <c r="BT134" i="11"/>
  <c r="B177" i="5" s="1"/>
  <c r="BT151" i="11"/>
  <c r="B194" i="5" s="1"/>
  <c r="BT181" i="11"/>
  <c r="B9" i="5" s="1"/>
  <c r="BT136" i="11"/>
  <c r="B179" i="5" s="1"/>
  <c r="BT155" i="11"/>
  <c r="B198" i="5" s="1"/>
  <c r="F249" i="11"/>
  <c r="BT177" i="11"/>
  <c r="B220" i="5" s="1"/>
  <c r="F256" i="11"/>
  <c r="BT158" i="11"/>
  <c r="B201" i="5" s="1"/>
  <c r="I249" i="11"/>
  <c r="D236" i="11"/>
  <c r="D269" i="11" s="1"/>
  <c r="D244" i="11"/>
  <c r="BT187" i="11"/>
  <c r="B32" i="5" s="1"/>
  <c r="C216" i="11"/>
  <c r="BT179" i="11"/>
  <c r="B7" i="5" s="1"/>
  <c r="F263" i="11"/>
  <c r="BT194" i="11"/>
  <c r="B39" i="5" s="1"/>
  <c r="E244" i="11"/>
  <c r="E269" i="11"/>
  <c r="BT210" i="11"/>
  <c r="B227" i="5" s="1"/>
  <c r="C236" i="11"/>
  <c r="C256" i="11"/>
  <c r="I257" i="11" s="1"/>
  <c r="I263" i="11"/>
  <c r="I264" i="11" s="1"/>
  <c r="BT214" i="11"/>
  <c r="B233" i="5" s="1"/>
  <c r="M243" i="11"/>
  <c r="O235" i="11"/>
  <c r="D246" i="11" l="1"/>
  <c r="O238" i="11"/>
  <c r="T238" i="11" s="1"/>
  <c r="U238" i="11" s="1"/>
  <c r="V238" i="11" s="1"/>
  <c r="E246" i="11"/>
  <c r="F236" i="11"/>
  <c r="BT80" i="11"/>
  <c r="B123" i="5" s="1"/>
  <c r="BT69" i="11"/>
  <c r="B112" i="5" s="1"/>
  <c r="BT50" i="11"/>
  <c r="B93" i="5" s="1"/>
  <c r="C272" i="11"/>
  <c r="BT19" i="11"/>
  <c r="B62" i="5" s="1"/>
  <c r="BT94" i="11"/>
  <c r="B137" i="5" s="1"/>
  <c r="BT73" i="11"/>
  <c r="B116" i="5" s="1"/>
  <c r="BT55" i="11"/>
  <c r="B98" i="5" s="1"/>
  <c r="D227" i="11"/>
  <c r="C228" i="11"/>
  <c r="D228" i="11" s="1"/>
  <c r="BT117" i="11"/>
  <c r="B160" i="5" s="1"/>
  <c r="C265" i="5"/>
  <c r="D261" i="5" s="1"/>
  <c r="BT191" i="11"/>
  <c r="B36" i="5" s="1"/>
  <c r="BT189" i="11"/>
  <c r="B34" i="5" s="1"/>
  <c r="BT79" i="11"/>
  <c r="B122" i="5" s="1"/>
  <c r="BT81" i="11"/>
  <c r="B124" i="5" s="1"/>
  <c r="BT44" i="11"/>
  <c r="B87" i="5" s="1"/>
  <c r="BT40" i="11"/>
  <c r="B83" i="5" s="1"/>
  <c r="BT192" i="11"/>
  <c r="B37" i="5" s="1"/>
  <c r="BT209" i="11"/>
  <c r="B226" i="5" s="1"/>
  <c r="BT138" i="11"/>
  <c r="B181" i="5" s="1"/>
  <c r="BT61" i="11"/>
  <c r="B104" i="5" s="1"/>
  <c r="BT57" i="11"/>
  <c r="B100" i="5" s="1"/>
  <c r="BT167" i="11"/>
  <c r="B210" i="5" s="1"/>
  <c r="BT154" i="11"/>
  <c r="B197" i="5" s="1"/>
  <c r="BT124" i="11"/>
  <c r="B167" i="5" s="1"/>
  <c r="BT197" i="11"/>
  <c r="B12" i="5" s="1"/>
  <c r="BT51" i="11"/>
  <c r="B94" i="5" s="1"/>
  <c r="BT29" i="11"/>
  <c r="B72" i="5" s="1"/>
  <c r="BT147" i="11"/>
  <c r="B190" i="5" s="1"/>
  <c r="BT149" i="11"/>
  <c r="B192" i="5" s="1"/>
  <c r="BT87" i="11"/>
  <c r="B130" i="5" s="1"/>
  <c r="BT34" i="11"/>
  <c r="B77" i="5" s="1"/>
  <c r="BT178" i="11"/>
  <c r="B221" i="5" s="1"/>
  <c r="BT166" i="11"/>
  <c r="B209" i="5" s="1"/>
  <c r="BT164" i="11"/>
  <c r="B207" i="5" s="1"/>
  <c r="BT102" i="11"/>
  <c r="B145" i="5" s="1"/>
  <c r="BT97" i="11"/>
  <c r="B140" i="5" s="1"/>
  <c r="BT70" i="11"/>
  <c r="B113" i="5" s="1"/>
  <c r="BT107" i="11"/>
  <c r="B150" i="5" s="1"/>
  <c r="BT91" i="11"/>
  <c r="B134" i="5" s="1"/>
  <c r="BT58" i="11"/>
  <c r="B101" i="5" s="1"/>
  <c r="BT10" i="11"/>
  <c r="B53" i="5" s="1"/>
  <c r="BT133" i="11"/>
  <c r="B176" i="5" s="1"/>
  <c r="BT212" i="11"/>
  <c r="B229" i="5" s="1"/>
  <c r="BT110" i="11"/>
  <c r="B153" i="5" s="1"/>
  <c r="BT132" i="11"/>
  <c r="B175" i="5" s="1"/>
  <c r="BT201" i="11"/>
  <c r="B21" i="5" s="1"/>
  <c r="BT206" i="11"/>
  <c r="B223" i="5" s="1"/>
  <c r="BT90" i="11"/>
  <c r="B133" i="5" s="1"/>
  <c r="BT43" i="11"/>
  <c r="B86" i="5" s="1"/>
  <c r="BT13" i="11"/>
  <c r="B56" i="5" s="1"/>
  <c r="BT152" i="11"/>
  <c r="B195" i="5" s="1"/>
  <c r="BT160" i="11"/>
  <c r="B203" i="5" s="1"/>
  <c r="BT168" i="11"/>
  <c r="B211" i="5" s="1"/>
  <c r="BT108" i="11"/>
  <c r="B151" i="5" s="1"/>
  <c r="BT92" i="11"/>
  <c r="B135" i="5" s="1"/>
  <c r="BT114" i="11"/>
  <c r="B157" i="5" s="1"/>
  <c r="BT120" i="11"/>
  <c r="B163" i="5" s="1"/>
  <c r="BT85" i="11"/>
  <c r="B128" i="5" s="1"/>
  <c r="BT17" i="11"/>
  <c r="B60" i="5" s="1"/>
  <c r="BT42" i="11"/>
  <c r="B85" i="5" s="1"/>
  <c r="BT38" i="11"/>
  <c r="B81" i="5" s="1"/>
  <c r="BT144" i="11"/>
  <c r="B187" i="5" s="1"/>
  <c r="BT28" i="11"/>
  <c r="B71" i="5" s="1"/>
  <c r="BT204" i="11"/>
  <c r="B24" i="5" s="1"/>
  <c r="BT185" i="11"/>
  <c r="B30" i="5" s="1"/>
  <c r="BT202" i="11"/>
  <c r="B22" i="5" s="1"/>
  <c r="O243" i="11"/>
  <c r="T243" i="11" s="1"/>
  <c r="U243" i="11" s="1"/>
  <c r="V243" i="11" s="1"/>
  <c r="O239" i="11"/>
  <c r="T239" i="11" s="1"/>
  <c r="U239" i="11" s="1"/>
  <c r="V239" i="11" s="1"/>
  <c r="O236" i="11"/>
  <c r="BT208" i="11"/>
  <c r="B225" i="5" s="1"/>
  <c r="C269" i="11"/>
  <c r="BT207" i="11"/>
  <c r="B224" i="5" s="1"/>
  <c r="R235" i="11"/>
  <c r="BT195" i="11"/>
  <c r="B40" i="5" s="1"/>
  <c r="BT172" i="11"/>
  <c r="B215" i="5" s="1"/>
  <c r="BT193" i="11"/>
  <c r="B38" i="5" s="1"/>
  <c r="BT127" i="11"/>
  <c r="B170" i="5" s="1"/>
  <c r="BT129" i="11"/>
  <c r="B172" i="5" s="1"/>
  <c r="BT115" i="11"/>
  <c r="B158" i="5" s="1"/>
  <c r="BT82" i="11"/>
  <c r="B125" i="5" s="1"/>
  <c r="BT64" i="11"/>
  <c r="B107" i="5" s="1"/>
  <c r="BT196" i="11"/>
  <c r="B19" i="5" s="1"/>
  <c r="C223" i="11"/>
  <c r="C219" i="11"/>
  <c r="C220" i="11" s="1"/>
  <c r="BT170" i="11"/>
  <c r="B213" i="5" s="1"/>
  <c r="BT121" i="11"/>
  <c r="B164" i="5" s="1"/>
  <c r="BT93" i="11"/>
  <c r="B136" i="5" s="1"/>
  <c r="BT203" i="11"/>
  <c r="B23" i="5" s="1"/>
  <c r="F266" i="11"/>
  <c r="F265" i="11"/>
  <c r="F264" i="11"/>
  <c r="F259" i="11"/>
  <c r="F257" i="11"/>
  <c r="F258" i="11"/>
  <c r="BT190" i="11"/>
  <c r="B35" i="5" s="1"/>
  <c r="F250" i="11"/>
  <c r="F252" i="11"/>
  <c r="F251" i="11"/>
  <c r="BT101" i="11"/>
  <c r="B144" i="5" s="1"/>
  <c r="I251" i="11"/>
  <c r="I250" i="11"/>
  <c r="I252" i="11"/>
  <c r="BT163" i="11"/>
  <c r="B206" i="5" s="1"/>
  <c r="BT159" i="11"/>
  <c r="B202" i="5" s="1"/>
  <c r="AQ3" i="11"/>
  <c r="BT88" i="11"/>
  <c r="B131" i="5" s="1"/>
  <c r="BT200" i="11"/>
  <c r="B20" i="5" s="1"/>
  <c r="BT180" i="11"/>
  <c r="B8" i="5" s="1"/>
  <c r="BT176" i="11"/>
  <c r="B219" i="5" s="1"/>
  <c r="BT119" i="11"/>
  <c r="B162" i="5" s="1"/>
  <c r="BT75" i="11"/>
  <c r="B118" i="5" s="1"/>
  <c r="BT32" i="11"/>
  <c r="B75" i="5" s="1"/>
  <c r="BT30" i="11"/>
  <c r="B73" i="5" s="1"/>
  <c r="BT174" i="11"/>
  <c r="B217" i="5" s="1"/>
  <c r="BT186" i="11"/>
  <c r="B31" i="5" s="1"/>
  <c r="BT146" i="11"/>
  <c r="B189" i="5" s="1"/>
  <c r="BT140" i="11"/>
  <c r="B183" i="5" s="1"/>
  <c r="BT122" i="11"/>
  <c r="B165" i="5" s="1"/>
  <c r="BT59" i="11"/>
  <c r="B102" i="5" s="1"/>
  <c r="AS3" i="11"/>
  <c r="BT37" i="11"/>
  <c r="B80" i="5" s="1"/>
  <c r="BT211" i="11"/>
  <c r="B228" i="5" s="1"/>
  <c r="BT165" i="11"/>
  <c r="B208" i="5" s="1"/>
  <c r="BT126" i="11"/>
  <c r="B169" i="5" s="1"/>
  <c r="BT125" i="11"/>
  <c r="B168" i="5" s="1"/>
  <c r="BT109" i="11"/>
  <c r="B152" i="5" s="1"/>
  <c r="BT89" i="11"/>
  <c r="B132" i="5" s="1"/>
  <c r="BT77" i="11"/>
  <c r="B120" i="5" s="1"/>
  <c r="BT62" i="11"/>
  <c r="B105" i="5" s="1"/>
  <c r="BT63" i="11"/>
  <c r="B106" i="5" s="1"/>
  <c r="BT78" i="11"/>
  <c r="B121" i="5" s="1"/>
  <c r="BT72" i="11"/>
  <c r="B115" i="5" s="1"/>
  <c r="BT21" i="11"/>
  <c r="B64" i="5" s="1"/>
  <c r="BT9" i="11"/>
  <c r="B52" i="5" s="1"/>
  <c r="BT142" i="11"/>
  <c r="B185" i="5" s="1"/>
  <c r="BT157" i="11"/>
  <c r="B200" i="5" s="1"/>
  <c r="BT130" i="11"/>
  <c r="B173" i="5" s="1"/>
  <c r="BT118" i="11"/>
  <c r="B161" i="5" s="1"/>
  <c r="BT105" i="11"/>
  <c r="B148" i="5" s="1"/>
  <c r="BT11" i="11"/>
  <c r="B54" i="5" s="1"/>
  <c r="BT148" i="11"/>
  <c r="B191" i="5" s="1"/>
  <c r="BT137" i="11"/>
  <c r="B180" i="5" s="1"/>
  <c r="BT113" i="11"/>
  <c r="B156" i="5" s="1"/>
  <c r="BT123" i="11"/>
  <c r="B166" i="5" s="1"/>
  <c r="BT112" i="11"/>
  <c r="B155" i="5" s="1"/>
  <c r="BT104" i="11"/>
  <c r="B147" i="5" s="1"/>
  <c r="BT96" i="11"/>
  <c r="B139" i="5" s="1"/>
  <c r="BT66" i="11"/>
  <c r="B109" i="5" s="1"/>
  <c r="BT16" i="11"/>
  <c r="B59" i="5" s="1"/>
  <c r="T242" i="11"/>
  <c r="U242" i="11" s="1"/>
  <c r="V242" i="11" s="1"/>
  <c r="D262" i="5" l="1"/>
  <c r="BT213" i="11"/>
  <c r="B42" i="5" s="1"/>
  <c r="BT199" i="11"/>
  <c r="B41" i="5" s="1"/>
  <c r="BT156" i="11"/>
  <c r="B199" i="5" s="1"/>
  <c r="BT99" i="11"/>
  <c r="B142" i="5" s="1"/>
  <c r="BT141" i="11"/>
  <c r="B184" i="5" s="1"/>
  <c r="O244" i="11"/>
  <c r="AR3" i="11"/>
  <c r="C32" i="19"/>
  <c r="BT173" i="11"/>
  <c r="B216" i="5" s="1"/>
  <c r="BT24" i="11"/>
  <c r="B67" i="5" s="1"/>
  <c r="BT103" i="11"/>
  <c r="B146" i="5" s="1"/>
  <c r="BT83" i="11"/>
  <c r="B126" i="5" s="1"/>
  <c r="BT45" i="11"/>
  <c r="B88" i="5" s="1"/>
  <c r="BT76" i="11"/>
  <c r="B119" i="5" s="1"/>
  <c r="BT135" i="11"/>
  <c r="B178" i="5" s="1"/>
  <c r="BT175" i="11"/>
  <c r="B218" i="5" s="1"/>
  <c r="BT111" i="11"/>
  <c r="B154" i="5" s="1"/>
  <c r="BT184" i="11"/>
  <c r="B29" i="5" s="1"/>
  <c r="BT65" i="11"/>
  <c r="B108" i="5" s="1"/>
  <c r="BT22" i="11"/>
  <c r="B65" i="5" s="1"/>
  <c r="BT68" i="11"/>
  <c r="B111" i="5" s="1"/>
  <c r="BT183" i="11"/>
  <c r="B11" i="5" s="1"/>
  <c r="BT150" i="11"/>
  <c r="B193" i="5" s="1"/>
  <c r="BT188" i="11"/>
  <c r="B33" i="5" s="1"/>
  <c r="BT15" i="11"/>
  <c r="B58" i="5" s="1"/>
  <c r="BT100" i="11"/>
  <c r="B143" i="5" s="1"/>
  <c r="BT86" i="11"/>
  <c r="B129" i="5" s="1"/>
  <c r="BT205" i="11"/>
  <c r="B222" i="5" s="1"/>
  <c r="BT143" i="11"/>
  <c r="B186" i="5" s="1"/>
  <c r="BT7" i="11"/>
  <c r="O240" i="11"/>
  <c r="F267" i="11"/>
  <c r="R234" i="11"/>
  <c r="R242" i="11" s="1"/>
  <c r="F260" i="11"/>
  <c r="F253" i="11"/>
  <c r="AB3" i="11"/>
  <c r="I253" i="11"/>
  <c r="Y3" i="11"/>
  <c r="V244" i="11"/>
  <c r="AD3" i="11"/>
  <c r="AE3" i="11"/>
  <c r="AC3" i="11"/>
  <c r="R243" i="11"/>
  <c r="R239" i="11"/>
  <c r="AP3" i="11"/>
  <c r="C18" i="19" l="1"/>
  <c r="D263" i="5"/>
  <c r="O246" i="11"/>
  <c r="C52" i="19"/>
  <c r="C275" i="19" s="1"/>
  <c r="B50" i="5"/>
  <c r="BT74" i="11"/>
  <c r="B117" i="5" s="1"/>
  <c r="F269" i="11"/>
  <c r="R236" i="11"/>
  <c r="O237" i="11" s="1"/>
  <c r="R238" i="11"/>
  <c r="R240" i="11" s="1"/>
  <c r="BM3" i="11"/>
  <c r="R244" i="11"/>
  <c r="C277" i="19" l="1"/>
  <c r="BT215" i="11"/>
  <c r="R246" i="11"/>
  <c r="AP216" i="6" l="1"/>
  <c r="AO216" i="6"/>
  <c r="D203" i="6" l="1"/>
  <c r="D204" i="6"/>
  <c r="D205" i="6"/>
  <c r="D206" i="6"/>
  <c r="D207" i="6"/>
  <c r="D208" i="6"/>
  <c r="D209" i="6"/>
  <c r="D202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0" i="6"/>
  <c r="AS169" i="6" l="1"/>
  <c r="BF169" i="6"/>
  <c r="AS165" i="6"/>
  <c r="AT165" i="6" s="1"/>
  <c r="BF165" i="6"/>
  <c r="AS153" i="6"/>
  <c r="BF153" i="6"/>
  <c r="BF145" i="6"/>
  <c r="AS145" i="6"/>
  <c r="AS137" i="6"/>
  <c r="BF137" i="6"/>
  <c r="BF117" i="6"/>
  <c r="AS117" i="6"/>
  <c r="AT117" i="6" s="1"/>
  <c r="AS182" i="6"/>
  <c r="BF182" i="6"/>
  <c r="AS178" i="6"/>
  <c r="BF178" i="6"/>
  <c r="AS174" i="6"/>
  <c r="BF174" i="6"/>
  <c r="AS170" i="6"/>
  <c r="AT170" i="6" s="1"/>
  <c r="BF170" i="6"/>
  <c r="AS166" i="6"/>
  <c r="BF166" i="6"/>
  <c r="AS162" i="6"/>
  <c r="AT162" i="6" s="1"/>
  <c r="BF162" i="6"/>
  <c r="AS158" i="6"/>
  <c r="BF158" i="6"/>
  <c r="AS154" i="6"/>
  <c r="AT154" i="6" s="1"/>
  <c r="BF154" i="6"/>
  <c r="AS150" i="6"/>
  <c r="BF150" i="6"/>
  <c r="AS146" i="6"/>
  <c r="AT146" i="6" s="1"/>
  <c r="BF146" i="6"/>
  <c r="AS142" i="6"/>
  <c r="BF142" i="6"/>
  <c r="AS138" i="6"/>
  <c r="AT138" i="6" s="1"/>
  <c r="BF138" i="6"/>
  <c r="BG138" i="6" s="1"/>
  <c r="AS134" i="6"/>
  <c r="BF134" i="6"/>
  <c r="AS130" i="6"/>
  <c r="AT130" i="6" s="1"/>
  <c r="BF130" i="6"/>
  <c r="AS126" i="6"/>
  <c r="BF126" i="6"/>
  <c r="AS122" i="6"/>
  <c r="AT122" i="6" s="1"/>
  <c r="BF122" i="6"/>
  <c r="AS118" i="6"/>
  <c r="BF118" i="6"/>
  <c r="AS114" i="6"/>
  <c r="AT114" i="6" s="1"/>
  <c r="BF114" i="6"/>
  <c r="AS110" i="6"/>
  <c r="BF110" i="6"/>
  <c r="AS106" i="6"/>
  <c r="BF106" i="6"/>
  <c r="BG106" i="6" s="1"/>
  <c r="AS102" i="6"/>
  <c r="BF102" i="6"/>
  <c r="AS98" i="6"/>
  <c r="AT98" i="6" s="1"/>
  <c r="BF98" i="6"/>
  <c r="BG98" i="6" s="1"/>
  <c r="AS94" i="6"/>
  <c r="BF94" i="6"/>
  <c r="AS90" i="6"/>
  <c r="AT90" i="6" s="1"/>
  <c r="BF90" i="6"/>
  <c r="BG90" i="6" s="1"/>
  <c r="AS86" i="6"/>
  <c r="BF86" i="6"/>
  <c r="AS82" i="6"/>
  <c r="AT82" i="6" s="1"/>
  <c r="BF82" i="6"/>
  <c r="AS78" i="6"/>
  <c r="BF78" i="6"/>
  <c r="AS74" i="6"/>
  <c r="AT74" i="6" s="1"/>
  <c r="BF74" i="6"/>
  <c r="BG74" i="6" s="1"/>
  <c r="AS70" i="6"/>
  <c r="BF70" i="6"/>
  <c r="AS66" i="6"/>
  <c r="AT66" i="6" s="1"/>
  <c r="BF66" i="6"/>
  <c r="BG66" i="6" s="1"/>
  <c r="AS62" i="6"/>
  <c r="BF62" i="6"/>
  <c r="BF58" i="6"/>
  <c r="AS58" i="6"/>
  <c r="AS54" i="6"/>
  <c r="BF54" i="6"/>
  <c r="BF50" i="6"/>
  <c r="BG50" i="6" s="1"/>
  <c r="AS50" i="6"/>
  <c r="AT50" i="6" s="1"/>
  <c r="AS46" i="6"/>
  <c r="BF46" i="6"/>
  <c r="BF42" i="6"/>
  <c r="AS42" i="6"/>
  <c r="AT42" i="6" s="1"/>
  <c r="AS38" i="6"/>
  <c r="BF38" i="6"/>
  <c r="BF34" i="6"/>
  <c r="AS34" i="6"/>
  <c r="AS30" i="6"/>
  <c r="BF30" i="6"/>
  <c r="BF26" i="6"/>
  <c r="BG26" i="6" s="1"/>
  <c r="AS26" i="6"/>
  <c r="AT26" i="6" s="1"/>
  <c r="AS22" i="6"/>
  <c r="BF22" i="6"/>
  <c r="BF18" i="6"/>
  <c r="BG18" i="6" s="1"/>
  <c r="AS18" i="6"/>
  <c r="AT18" i="6" s="1"/>
  <c r="AS14" i="6"/>
  <c r="BF14" i="6"/>
  <c r="AS202" i="6"/>
  <c r="BF202" i="6"/>
  <c r="BF206" i="6"/>
  <c r="AS206" i="6"/>
  <c r="BF177" i="6"/>
  <c r="AS177" i="6"/>
  <c r="AT177" i="6" s="1"/>
  <c r="BF157" i="6"/>
  <c r="AS157" i="6"/>
  <c r="BF141" i="6"/>
  <c r="AS141" i="6"/>
  <c r="AS133" i="6"/>
  <c r="BF133" i="6"/>
  <c r="BF125" i="6"/>
  <c r="AS125" i="6"/>
  <c r="AS113" i="6"/>
  <c r="BF113" i="6"/>
  <c r="AS105" i="6"/>
  <c r="AT105" i="6" s="1"/>
  <c r="BF105" i="6"/>
  <c r="AS101" i="6"/>
  <c r="BF101" i="6"/>
  <c r="BF97" i="6"/>
  <c r="AS97" i="6"/>
  <c r="AT97" i="6" s="1"/>
  <c r="BF93" i="6"/>
  <c r="AS93" i="6"/>
  <c r="BF89" i="6"/>
  <c r="AS89" i="6"/>
  <c r="AT89" i="6" s="1"/>
  <c r="BF85" i="6"/>
  <c r="AS85" i="6"/>
  <c r="AS77" i="6"/>
  <c r="AT77" i="6" s="1"/>
  <c r="BF77" i="6"/>
  <c r="BF73" i="6"/>
  <c r="AS73" i="6"/>
  <c r="BF69" i="6"/>
  <c r="AS69" i="6"/>
  <c r="AT69" i="6" s="1"/>
  <c r="BF65" i="6"/>
  <c r="AS65" i="6"/>
  <c r="BF61" i="6"/>
  <c r="AS61" i="6"/>
  <c r="AT61" i="6" s="1"/>
  <c r="AS57" i="6"/>
  <c r="BF57" i="6"/>
  <c r="AS53" i="6"/>
  <c r="AT53" i="6" s="1"/>
  <c r="BF53" i="6"/>
  <c r="BF49" i="6"/>
  <c r="AS49" i="6"/>
  <c r="BF45" i="6"/>
  <c r="AS45" i="6"/>
  <c r="AT45" i="6" s="1"/>
  <c r="AS41" i="6"/>
  <c r="BF41" i="6"/>
  <c r="AS37" i="6"/>
  <c r="AT37" i="6" s="1"/>
  <c r="BF37" i="6"/>
  <c r="BF33" i="6"/>
  <c r="AS33" i="6"/>
  <c r="BF29" i="6"/>
  <c r="AS29" i="6"/>
  <c r="AT29" i="6" s="1"/>
  <c r="BF25" i="6"/>
  <c r="AS25" i="6"/>
  <c r="AS21" i="6"/>
  <c r="BF21" i="6"/>
  <c r="BF17" i="6"/>
  <c r="AS17" i="6"/>
  <c r="BF13" i="6"/>
  <c r="AS13" i="6"/>
  <c r="AT13" i="6" s="1"/>
  <c r="BF209" i="6"/>
  <c r="AS209" i="6"/>
  <c r="AS205" i="6"/>
  <c r="AT205" i="6" s="1"/>
  <c r="BF205" i="6"/>
  <c r="BF180" i="6"/>
  <c r="AS180" i="6"/>
  <c r="BF176" i="6"/>
  <c r="AS176" i="6"/>
  <c r="AT176" i="6" s="1"/>
  <c r="AS172" i="6"/>
  <c r="BF172" i="6"/>
  <c r="BF168" i="6"/>
  <c r="AS168" i="6"/>
  <c r="AT168" i="6" s="1"/>
  <c r="AS164" i="6"/>
  <c r="BF164" i="6"/>
  <c r="BF160" i="6"/>
  <c r="AS160" i="6"/>
  <c r="AT160" i="6" s="1"/>
  <c r="AS156" i="6"/>
  <c r="BF156" i="6"/>
  <c r="AS152" i="6"/>
  <c r="BF152" i="6"/>
  <c r="BG152" i="6" s="1"/>
  <c r="BF148" i="6"/>
  <c r="AS148" i="6"/>
  <c r="BF144" i="6"/>
  <c r="BG144" i="6" s="1"/>
  <c r="AS144" i="6"/>
  <c r="AT144" i="6" s="1"/>
  <c r="AS140" i="6"/>
  <c r="BF140" i="6"/>
  <c r="AS136" i="6"/>
  <c r="BF136" i="6"/>
  <c r="BG136" i="6" s="1"/>
  <c r="BF132" i="6"/>
  <c r="AS132" i="6"/>
  <c r="BF128" i="6"/>
  <c r="AS128" i="6"/>
  <c r="AS124" i="6"/>
  <c r="BF124" i="6"/>
  <c r="AS120" i="6"/>
  <c r="BF120" i="6"/>
  <c r="BF116" i="6"/>
  <c r="AS116" i="6"/>
  <c r="BF112" i="6"/>
  <c r="BG112" i="6" s="1"/>
  <c r="AS112" i="6"/>
  <c r="AS108" i="6"/>
  <c r="BF108" i="6"/>
  <c r="AS104" i="6"/>
  <c r="BF104" i="6"/>
  <c r="BF100" i="6"/>
  <c r="AS100" i="6"/>
  <c r="BF96" i="6"/>
  <c r="AS96" i="6"/>
  <c r="AT96" i="6" s="1"/>
  <c r="AS92" i="6"/>
  <c r="BF92" i="6"/>
  <c r="AS88" i="6"/>
  <c r="BF88" i="6"/>
  <c r="BG88" i="6" s="1"/>
  <c r="BF84" i="6"/>
  <c r="AS84" i="6"/>
  <c r="AS80" i="6"/>
  <c r="BF80" i="6"/>
  <c r="BF76" i="6"/>
  <c r="AS76" i="6"/>
  <c r="BF72" i="6"/>
  <c r="AS72" i="6"/>
  <c r="AT72" i="6" s="1"/>
  <c r="AS68" i="6"/>
  <c r="BF68" i="6"/>
  <c r="BF64" i="6"/>
  <c r="AS64" i="6"/>
  <c r="AT64" i="6" s="1"/>
  <c r="AS60" i="6"/>
  <c r="BF60" i="6"/>
  <c r="BF56" i="6"/>
  <c r="AS56" i="6"/>
  <c r="AT56" i="6" s="1"/>
  <c r="AS52" i="6"/>
  <c r="BF52" i="6"/>
  <c r="AS48" i="6"/>
  <c r="AT48" i="6" s="1"/>
  <c r="BF48" i="6"/>
  <c r="BF44" i="6"/>
  <c r="AS44" i="6"/>
  <c r="AS40" i="6"/>
  <c r="AT40" i="6" s="1"/>
  <c r="BF40" i="6"/>
  <c r="BG40" i="6" s="1"/>
  <c r="BF36" i="6"/>
  <c r="AS36" i="6"/>
  <c r="AS32" i="6"/>
  <c r="AT32" i="6" s="1"/>
  <c r="BF32" i="6"/>
  <c r="BF28" i="6"/>
  <c r="AS28" i="6"/>
  <c r="AS24" i="6"/>
  <c r="AT24" i="6" s="1"/>
  <c r="BF24" i="6"/>
  <c r="BF20" i="6"/>
  <c r="AS20" i="6"/>
  <c r="AS16" i="6"/>
  <c r="BF16" i="6"/>
  <c r="BF12" i="6"/>
  <c r="AS12" i="6"/>
  <c r="BF208" i="6"/>
  <c r="AS208" i="6"/>
  <c r="AT208" i="6" s="1"/>
  <c r="AS204" i="6"/>
  <c r="BF204" i="6"/>
  <c r="AS181" i="6"/>
  <c r="AT181" i="6" s="1"/>
  <c r="BF181" i="6"/>
  <c r="BF173" i="6"/>
  <c r="AS173" i="6"/>
  <c r="BF161" i="6"/>
  <c r="AS161" i="6"/>
  <c r="AS149" i="6"/>
  <c r="BF149" i="6"/>
  <c r="BF129" i="6"/>
  <c r="AS129" i="6"/>
  <c r="BF121" i="6"/>
  <c r="AS121" i="6"/>
  <c r="AS109" i="6"/>
  <c r="AT109" i="6" s="1"/>
  <c r="BF109" i="6"/>
  <c r="AS81" i="6"/>
  <c r="BF81" i="6"/>
  <c r="AS10" i="6"/>
  <c r="AT10" i="6" s="1"/>
  <c r="BF10" i="6"/>
  <c r="BF179" i="6"/>
  <c r="AS179" i="6"/>
  <c r="AS175" i="6"/>
  <c r="AT175" i="6" s="1"/>
  <c r="BF175" i="6"/>
  <c r="BG175" i="6" s="1"/>
  <c r="BF171" i="6"/>
  <c r="AS171" i="6"/>
  <c r="AS167" i="6"/>
  <c r="AT167" i="6" s="1"/>
  <c r="BF167" i="6"/>
  <c r="BF163" i="6"/>
  <c r="AS163" i="6"/>
  <c r="AS159" i="6"/>
  <c r="AT159" i="6" s="1"/>
  <c r="BF159" i="6"/>
  <c r="BF155" i="6"/>
  <c r="AS155" i="6"/>
  <c r="AS151" i="6"/>
  <c r="AT151" i="6" s="1"/>
  <c r="BF151" i="6"/>
  <c r="BF147" i="6"/>
  <c r="AS147" i="6"/>
  <c r="AS143" i="6"/>
  <c r="AT143" i="6" s="1"/>
  <c r="BF143" i="6"/>
  <c r="BF139" i="6"/>
  <c r="AS139" i="6"/>
  <c r="AS135" i="6"/>
  <c r="AT135" i="6" s="1"/>
  <c r="BF135" i="6"/>
  <c r="BG135" i="6" s="1"/>
  <c r="BF131" i="6"/>
  <c r="AS131" i="6"/>
  <c r="AS127" i="6"/>
  <c r="BF127" i="6"/>
  <c r="BF123" i="6"/>
  <c r="AS123" i="6"/>
  <c r="AS119" i="6"/>
  <c r="BF119" i="6"/>
  <c r="BF115" i="6"/>
  <c r="AS115" i="6"/>
  <c r="AS111" i="6"/>
  <c r="BF111" i="6"/>
  <c r="BF107" i="6"/>
  <c r="AS107" i="6"/>
  <c r="AS103" i="6"/>
  <c r="AT103" i="6" s="1"/>
  <c r="BF103" i="6"/>
  <c r="BF99" i="6"/>
  <c r="AS99" i="6"/>
  <c r="AS95" i="6"/>
  <c r="AT95" i="6" s="1"/>
  <c r="BF95" i="6"/>
  <c r="BF91" i="6"/>
  <c r="AS91" i="6"/>
  <c r="AS87" i="6"/>
  <c r="AT87" i="6" s="1"/>
  <c r="BF87" i="6"/>
  <c r="BF83" i="6"/>
  <c r="AS83" i="6"/>
  <c r="AS79" i="6"/>
  <c r="BF79" i="6"/>
  <c r="BF75" i="6"/>
  <c r="AS75" i="6"/>
  <c r="AS71" i="6"/>
  <c r="AT71" i="6" s="1"/>
  <c r="BF71" i="6"/>
  <c r="BF67" i="6"/>
  <c r="AS67" i="6"/>
  <c r="AS63" i="6"/>
  <c r="AT63" i="6" s="1"/>
  <c r="BF63" i="6"/>
  <c r="BF59" i="6"/>
  <c r="AS59" i="6"/>
  <c r="AS55" i="6"/>
  <c r="AT55" i="6" s="1"/>
  <c r="BF55" i="6"/>
  <c r="BG55" i="6" s="1"/>
  <c r="BF51" i="6"/>
  <c r="AS51" i="6"/>
  <c r="AS47" i="6"/>
  <c r="AT47" i="6" s="1"/>
  <c r="BF47" i="6"/>
  <c r="BF43" i="6"/>
  <c r="AS43" i="6"/>
  <c r="AS39" i="6"/>
  <c r="AT39" i="6" s="1"/>
  <c r="BF39" i="6"/>
  <c r="BF35" i="6"/>
  <c r="AS35" i="6"/>
  <c r="AS31" i="6"/>
  <c r="AT31" i="6" s="1"/>
  <c r="BF31" i="6"/>
  <c r="BF27" i="6"/>
  <c r="AS27" i="6"/>
  <c r="AS23" i="6"/>
  <c r="AT23" i="6" s="1"/>
  <c r="BF23" i="6"/>
  <c r="BG23" i="6" s="1"/>
  <c r="BF19" i="6"/>
  <c r="AS19" i="6"/>
  <c r="AS15" i="6"/>
  <c r="AT15" i="6" s="1"/>
  <c r="BF15" i="6"/>
  <c r="BG15" i="6" s="1"/>
  <c r="BF11" i="6"/>
  <c r="AS11" i="6"/>
  <c r="BF207" i="6"/>
  <c r="AS207" i="6"/>
  <c r="AS203" i="6"/>
  <c r="BF203" i="6"/>
  <c r="AT178" i="6"/>
  <c r="AT158" i="6"/>
  <c r="AJ134" i="6"/>
  <c r="AT134" i="6"/>
  <c r="AJ110" i="6"/>
  <c r="AJ102" i="6"/>
  <c r="AT102" i="6"/>
  <c r="AJ78" i="6"/>
  <c r="AT54" i="6"/>
  <c r="AT206" i="6"/>
  <c r="AJ181" i="6"/>
  <c r="AJ177" i="6"/>
  <c r="AT173" i="6"/>
  <c r="AJ169" i="6"/>
  <c r="AJ161" i="6"/>
  <c r="AT157" i="6"/>
  <c r="AT153" i="6"/>
  <c r="AT149" i="6"/>
  <c r="AJ145" i="6"/>
  <c r="AJ137" i="6"/>
  <c r="AT133" i="6"/>
  <c r="AJ121" i="6"/>
  <c r="AT121" i="6"/>
  <c r="AJ113" i="6"/>
  <c r="AT113" i="6"/>
  <c r="AJ109" i="6"/>
  <c r="AJ105" i="6"/>
  <c r="AJ101" i="6"/>
  <c r="AJ93" i="6"/>
  <c r="AT93" i="6"/>
  <c r="AJ85" i="6"/>
  <c r="AT85" i="6"/>
  <c r="AJ81" i="6"/>
  <c r="AJ77" i="6"/>
  <c r="AJ73" i="6"/>
  <c r="AT73" i="6"/>
  <c r="AJ69" i="6"/>
  <c r="AJ65" i="6"/>
  <c r="AT65" i="6"/>
  <c r="AJ61" i="6"/>
  <c r="AJ53" i="6"/>
  <c r="AJ49" i="6"/>
  <c r="AT49" i="6"/>
  <c r="AJ41" i="6"/>
  <c r="AT41" i="6"/>
  <c r="AJ37" i="6"/>
  <c r="AJ33" i="6"/>
  <c r="AJ29" i="6"/>
  <c r="AJ25" i="6"/>
  <c r="AT25" i="6"/>
  <c r="AT21" i="6"/>
  <c r="AJ17" i="6"/>
  <c r="AT17" i="6"/>
  <c r="AJ13" i="6"/>
  <c r="AT209" i="6"/>
  <c r="AT182" i="6"/>
  <c r="AT166" i="6"/>
  <c r="AT142" i="6"/>
  <c r="AJ118" i="6"/>
  <c r="BG118" i="6"/>
  <c r="AT118" i="6"/>
  <c r="AT106" i="6"/>
  <c r="AJ94" i="6"/>
  <c r="AT94" i="6"/>
  <c r="BG94" i="6"/>
  <c r="AJ82" i="6"/>
  <c r="AJ70" i="6"/>
  <c r="BG70" i="6"/>
  <c r="AT70" i="6"/>
  <c r="AJ58" i="6"/>
  <c r="AJ42" i="6"/>
  <c r="AJ38" i="6"/>
  <c r="AT38" i="6"/>
  <c r="BG34" i="6"/>
  <c r="AJ30" i="6"/>
  <c r="AJ22" i="6"/>
  <c r="BG22" i="6"/>
  <c r="AJ14" i="6"/>
  <c r="AT180" i="6"/>
  <c r="AT172" i="6"/>
  <c r="AJ168" i="6"/>
  <c r="AT164" i="6"/>
  <c r="AJ156" i="6"/>
  <c r="BG156" i="6"/>
  <c r="AT156" i="6"/>
  <c r="AJ152" i="6"/>
  <c r="AJ148" i="6"/>
  <c r="AT148" i="6"/>
  <c r="BG148" i="6"/>
  <c r="AJ144" i="6"/>
  <c r="AJ140" i="6"/>
  <c r="BG140" i="6"/>
  <c r="AT140" i="6"/>
  <c r="AJ136" i="6"/>
  <c r="AT132" i="6"/>
  <c r="BG124" i="6"/>
  <c r="AT124" i="6"/>
  <c r="AT116" i="6"/>
  <c r="BG116" i="6"/>
  <c r="AJ112" i="6"/>
  <c r="AJ108" i="6"/>
  <c r="AT108" i="6"/>
  <c r="AT100" i="6"/>
  <c r="AJ96" i="6"/>
  <c r="BG96" i="6"/>
  <c r="AJ92" i="6"/>
  <c r="AT92" i="6"/>
  <c r="AJ88" i="6"/>
  <c r="AT88" i="6"/>
  <c r="AJ84" i="6"/>
  <c r="BG84" i="6"/>
  <c r="AT84" i="6"/>
  <c r="AJ80" i="6"/>
  <c r="AJ76" i="6"/>
  <c r="AT76" i="6"/>
  <c r="AJ72" i="6"/>
  <c r="AJ68" i="6"/>
  <c r="AT68" i="6"/>
  <c r="AJ64" i="6"/>
  <c r="AJ60" i="6"/>
  <c r="AT60" i="6"/>
  <c r="AJ56" i="6"/>
  <c r="AJ52" i="6"/>
  <c r="AT52" i="6"/>
  <c r="BG52" i="6"/>
  <c r="AJ48" i="6"/>
  <c r="BG44" i="6"/>
  <c r="AT44" i="6"/>
  <c r="AJ40" i="6"/>
  <c r="AJ36" i="6"/>
  <c r="AJ32" i="6"/>
  <c r="BG28" i="6"/>
  <c r="AT28" i="6"/>
  <c r="AJ24" i="6"/>
  <c r="AJ16" i="6"/>
  <c r="AJ12" i="6"/>
  <c r="AT12" i="6"/>
  <c r="AT150" i="6"/>
  <c r="AJ126" i="6"/>
  <c r="AT126" i="6"/>
  <c r="BG126" i="6"/>
  <c r="AJ98" i="6"/>
  <c r="AJ86" i="6"/>
  <c r="BG86" i="6"/>
  <c r="AT86" i="6"/>
  <c r="AJ46" i="6"/>
  <c r="AT202" i="6"/>
  <c r="AJ179" i="6"/>
  <c r="AT179" i="6"/>
  <c r="AJ171" i="6"/>
  <c r="AT171" i="6"/>
  <c r="AJ167" i="6"/>
  <c r="AJ163" i="6"/>
  <c r="AT155" i="6"/>
  <c r="AT147" i="6"/>
  <c r="AT139" i="6"/>
  <c r="AT131" i="6"/>
  <c r="AT127" i="6"/>
  <c r="AJ123" i="6"/>
  <c r="AT123" i="6"/>
  <c r="AT115" i="6"/>
  <c r="AT111" i="6"/>
  <c r="AT107" i="6"/>
  <c r="AJ99" i="6"/>
  <c r="AJ95" i="6"/>
  <c r="AT91" i="6"/>
  <c r="AT79" i="6"/>
  <c r="AJ75" i="6"/>
  <c r="AT75" i="6"/>
  <c r="AJ67" i="6"/>
  <c r="AT67" i="6"/>
  <c r="AJ63" i="6"/>
  <c r="AJ59" i="6"/>
  <c r="AT59" i="6"/>
  <c r="AJ47" i="6"/>
  <c r="AJ39" i="6"/>
  <c r="AJ35" i="6"/>
  <c r="AT35" i="6"/>
  <c r="AJ27" i="6"/>
  <c r="AJ23" i="6"/>
  <c r="AJ19" i="6"/>
  <c r="AJ15" i="6"/>
  <c r="AT203" i="6"/>
  <c r="W116" i="6"/>
  <c r="AJ116" i="6"/>
  <c r="Z28" i="6"/>
  <c r="AJ28" i="6"/>
  <c r="AH155" i="6"/>
  <c r="AJ155" i="6"/>
  <c r="V147" i="6"/>
  <c r="AJ147" i="6"/>
  <c r="AJ139" i="6"/>
  <c r="AJ131" i="6"/>
  <c r="AF115" i="6"/>
  <c r="AJ115" i="6"/>
  <c r="V107" i="6"/>
  <c r="AJ107" i="6"/>
  <c r="W91" i="6"/>
  <c r="AJ91" i="6"/>
  <c r="U83" i="6"/>
  <c r="AJ83" i="6"/>
  <c r="AJ51" i="6"/>
  <c r="U43" i="6"/>
  <c r="AJ43" i="6"/>
  <c r="V11" i="6"/>
  <c r="AJ11" i="6"/>
  <c r="AJ90" i="6"/>
  <c r="U74" i="6"/>
  <c r="AJ74" i="6"/>
  <c r="AJ66" i="6"/>
  <c r="W50" i="6"/>
  <c r="AJ50" i="6"/>
  <c r="AJ34" i="6"/>
  <c r="AJ26" i="6"/>
  <c r="U18" i="6"/>
  <c r="AJ18" i="6"/>
  <c r="AJ180" i="6"/>
  <c r="V124" i="6"/>
  <c r="AJ124" i="6"/>
  <c r="AJ44" i="6"/>
  <c r="V129" i="6"/>
  <c r="AJ129" i="6"/>
  <c r="AJ97" i="6"/>
  <c r="V89" i="6"/>
  <c r="AJ89" i="6"/>
  <c r="U57" i="6"/>
  <c r="AJ57" i="6"/>
  <c r="AJ154" i="6"/>
  <c r="AJ106" i="6"/>
  <c r="V120" i="6"/>
  <c r="AJ120" i="6"/>
  <c r="U104" i="6"/>
  <c r="AJ104" i="6"/>
  <c r="U208" i="6"/>
  <c r="W164" i="6"/>
  <c r="AJ164" i="6"/>
  <c r="V178" i="6"/>
  <c r="AJ178" i="6"/>
  <c r="V138" i="6"/>
  <c r="AJ138" i="6"/>
  <c r="Z114" i="6"/>
  <c r="AJ114" i="6"/>
  <c r="AF176" i="6"/>
  <c r="AJ176" i="6"/>
  <c r="V10" i="6"/>
  <c r="AJ10" i="6"/>
  <c r="Z175" i="6"/>
  <c r="AJ175" i="6"/>
  <c r="V159" i="6"/>
  <c r="AJ159" i="6"/>
  <c r="V151" i="6"/>
  <c r="AJ151" i="6"/>
  <c r="AJ143" i="6"/>
  <c r="AJ135" i="6"/>
  <c r="W127" i="6"/>
  <c r="AJ127" i="6"/>
  <c r="Z119" i="6"/>
  <c r="AJ119" i="6"/>
  <c r="AJ111" i="6"/>
  <c r="AJ103" i="6"/>
  <c r="W87" i="6"/>
  <c r="AJ87" i="6"/>
  <c r="V79" i="6"/>
  <c r="AJ79" i="6"/>
  <c r="U71" i="6"/>
  <c r="AJ71" i="6"/>
  <c r="AG55" i="6"/>
  <c r="AJ55" i="6"/>
  <c r="AJ31" i="6"/>
  <c r="U207" i="6"/>
  <c r="U100" i="6"/>
  <c r="AJ100" i="6"/>
  <c r="U162" i="6"/>
  <c r="AJ162" i="6"/>
  <c r="U130" i="6"/>
  <c r="AJ130" i="6"/>
  <c r="U153" i="6"/>
  <c r="AJ153" i="6"/>
  <c r="AF160" i="6"/>
  <c r="AJ160" i="6"/>
  <c r="AJ128" i="6"/>
  <c r="AJ182" i="6"/>
  <c r="Z174" i="6"/>
  <c r="AJ174" i="6"/>
  <c r="AJ166" i="6"/>
  <c r="AJ158" i="6"/>
  <c r="W150" i="6"/>
  <c r="AJ150" i="6"/>
  <c r="U142" i="6"/>
  <c r="AJ142" i="6"/>
  <c r="AF62" i="6"/>
  <c r="AJ62" i="6"/>
  <c r="U54" i="6"/>
  <c r="AJ54" i="6"/>
  <c r="W172" i="6"/>
  <c r="AJ172" i="6"/>
  <c r="AJ132" i="6"/>
  <c r="V20" i="6"/>
  <c r="AJ20" i="6"/>
  <c r="U170" i="6"/>
  <c r="AJ170" i="6"/>
  <c r="AJ146" i="6"/>
  <c r="U122" i="6"/>
  <c r="AJ122" i="6"/>
  <c r="AF173" i="6"/>
  <c r="AJ173" i="6"/>
  <c r="AG165" i="6"/>
  <c r="AJ165" i="6"/>
  <c r="AJ157" i="6"/>
  <c r="AJ149" i="6"/>
  <c r="AJ141" i="6"/>
  <c r="W133" i="6"/>
  <c r="AJ133" i="6"/>
  <c r="AF125" i="6"/>
  <c r="AJ125" i="6"/>
  <c r="AJ117" i="6"/>
  <c r="AJ45" i="6"/>
  <c r="AJ21" i="6"/>
  <c r="AH130" i="6"/>
  <c r="AG74" i="6"/>
  <c r="AF122" i="6"/>
  <c r="AH168" i="6"/>
  <c r="AH144" i="6"/>
  <c r="AG136" i="6"/>
  <c r="AG96" i="6"/>
  <c r="AG156" i="6"/>
  <c r="AG148" i="6"/>
  <c r="AG140" i="6"/>
  <c r="AH14" i="6"/>
  <c r="AG170" i="6"/>
  <c r="AH110" i="6"/>
  <c r="AG32" i="6"/>
  <c r="AG10" i="6"/>
  <c r="AF34" i="6"/>
  <c r="Z209" i="6"/>
  <c r="Z207" i="6"/>
  <c r="V204" i="6"/>
  <c r="AB164" i="6"/>
  <c r="Z136" i="6"/>
  <c r="W114" i="6"/>
  <c r="W203" i="6"/>
  <c r="V207" i="6"/>
  <c r="AG162" i="6"/>
  <c r="AG133" i="6"/>
  <c r="W209" i="6"/>
  <c r="W128" i="6"/>
  <c r="V209" i="6"/>
  <c r="Z205" i="6"/>
  <c r="U205" i="6"/>
  <c r="AG144" i="6"/>
  <c r="AG119" i="6"/>
  <c r="W117" i="6"/>
  <c r="V179" i="6"/>
  <c r="AH179" i="6"/>
  <c r="U179" i="6"/>
  <c r="Z179" i="6"/>
  <c r="U171" i="6"/>
  <c r="AE171" i="6"/>
  <c r="V171" i="6"/>
  <c r="AH171" i="6"/>
  <c r="W171" i="6"/>
  <c r="Z171" i="6"/>
  <c r="AB171" i="6"/>
  <c r="AA163" i="6"/>
  <c r="V163" i="6"/>
  <c r="W163" i="6"/>
  <c r="Z163" i="6"/>
  <c r="U99" i="6"/>
  <c r="AG99" i="6"/>
  <c r="W99" i="6"/>
  <c r="Z99" i="6"/>
  <c r="AF99" i="6"/>
  <c r="AH99" i="6"/>
  <c r="V99" i="6"/>
  <c r="AF75" i="6"/>
  <c r="V75" i="6"/>
  <c r="U75" i="6"/>
  <c r="W75" i="6"/>
  <c r="Z75" i="6"/>
  <c r="AG75" i="6"/>
  <c r="AF67" i="6"/>
  <c r="U67" i="6"/>
  <c r="AH67" i="6"/>
  <c r="AG67" i="6"/>
  <c r="W67" i="6"/>
  <c r="V67" i="6"/>
  <c r="Z61" i="6"/>
  <c r="AA61" i="6"/>
  <c r="AH61" i="6"/>
  <c r="V61" i="6"/>
  <c r="W61" i="6"/>
  <c r="AG61" i="6"/>
  <c r="AF61" i="6"/>
  <c r="U61" i="6"/>
  <c r="V167" i="6"/>
  <c r="AH167" i="6"/>
  <c r="AG167" i="6"/>
  <c r="U167" i="6"/>
  <c r="W167" i="6"/>
  <c r="Z167" i="6"/>
  <c r="U177" i="6"/>
  <c r="AF177" i="6"/>
  <c r="AH177" i="6"/>
  <c r="V177" i="6"/>
  <c r="Z177" i="6"/>
  <c r="Z169" i="6"/>
  <c r="AF169" i="6"/>
  <c r="V169" i="6"/>
  <c r="W169" i="6"/>
  <c r="U161" i="6"/>
  <c r="AG161" i="6"/>
  <c r="AF161" i="6"/>
  <c r="V161" i="6"/>
  <c r="W161" i="6"/>
  <c r="Z161" i="6"/>
  <c r="V153" i="6"/>
  <c r="AH153" i="6"/>
  <c r="W153" i="6"/>
  <c r="AG153" i="6"/>
  <c r="Z153" i="6"/>
  <c r="W145" i="6"/>
  <c r="Z145" i="6"/>
  <c r="V145" i="6"/>
  <c r="AG145" i="6"/>
  <c r="AH145" i="6"/>
  <c r="Z137" i="6"/>
  <c r="W137" i="6"/>
  <c r="V137" i="6"/>
  <c r="U137" i="6"/>
  <c r="AF137" i="6"/>
  <c r="AG137" i="6"/>
  <c r="Z121" i="6"/>
  <c r="W121" i="6"/>
  <c r="AG121" i="6"/>
  <c r="AH121" i="6"/>
  <c r="U121" i="6"/>
  <c r="Z113" i="6"/>
  <c r="U113" i="6"/>
  <c r="AH113" i="6"/>
  <c r="AG113" i="6"/>
  <c r="W113" i="6"/>
  <c r="AF113" i="6"/>
  <c r="AF105" i="6"/>
  <c r="Z105" i="6"/>
  <c r="V105" i="6"/>
  <c r="W105" i="6"/>
  <c r="U105" i="6"/>
  <c r="AH105" i="6"/>
  <c r="U81" i="6"/>
  <c r="AF81" i="6"/>
  <c r="V81" i="6"/>
  <c r="AH81" i="6"/>
  <c r="AB81" i="6"/>
  <c r="W81" i="6"/>
  <c r="Z81" i="6"/>
  <c r="AF182" i="6"/>
  <c r="V182" i="6"/>
  <c r="W182" i="6"/>
  <c r="Z182" i="6"/>
  <c r="AE174" i="6"/>
  <c r="AF174" i="6"/>
  <c r="U174" i="6"/>
  <c r="AH174" i="6"/>
  <c r="V174" i="6"/>
  <c r="U166" i="6"/>
  <c r="AH166" i="6"/>
  <c r="V166" i="6"/>
  <c r="Z166" i="6"/>
  <c r="V158" i="6"/>
  <c r="Z158" i="6"/>
  <c r="AG158" i="6"/>
  <c r="AH158" i="6"/>
  <c r="U158" i="6"/>
  <c r="W158" i="6"/>
  <c r="AF150" i="6"/>
  <c r="U150" i="6"/>
  <c r="AG150" i="6"/>
  <c r="AH150" i="6"/>
  <c r="V150" i="6"/>
  <c r="V142" i="6"/>
  <c r="AH142" i="6"/>
  <c r="W142" i="6"/>
  <c r="Z142" i="6"/>
  <c r="AF142" i="6"/>
  <c r="W134" i="6"/>
  <c r="U134" i="6"/>
  <c r="AF134" i="6"/>
  <c r="Z134" i="6"/>
  <c r="AG134" i="6"/>
  <c r="AH134" i="6"/>
  <c r="W126" i="6"/>
  <c r="V126" i="6"/>
  <c r="U126" i="6"/>
  <c r="Z126" i="6"/>
  <c r="AF126" i="6"/>
  <c r="V118" i="6"/>
  <c r="AH118" i="6"/>
  <c r="W118" i="6"/>
  <c r="Z118" i="6"/>
  <c r="Z110" i="6"/>
  <c r="AG110" i="6"/>
  <c r="AF110" i="6"/>
  <c r="V110" i="6"/>
  <c r="W110" i="6"/>
  <c r="AB110" i="6"/>
  <c r="W102" i="6"/>
  <c r="AG102" i="6"/>
  <c r="U102" i="6"/>
  <c r="AH102" i="6"/>
  <c r="AF102" i="6"/>
  <c r="V102" i="6"/>
  <c r="Z102" i="6"/>
  <c r="AF94" i="6"/>
  <c r="AA94" i="6"/>
  <c r="Z94" i="6"/>
  <c r="AH94" i="6"/>
  <c r="U94" i="6"/>
  <c r="V94" i="6"/>
  <c r="AG94" i="6"/>
  <c r="Z86" i="6"/>
  <c r="AG86" i="6"/>
  <c r="AH86" i="6"/>
  <c r="AF86" i="6"/>
  <c r="V86" i="6"/>
  <c r="W86" i="6"/>
  <c r="U86" i="6"/>
  <c r="Z78" i="6"/>
  <c r="AF78" i="6"/>
  <c r="W78" i="6"/>
  <c r="AH78" i="6"/>
  <c r="V78" i="6"/>
  <c r="AG78" i="6"/>
  <c r="V70" i="6"/>
  <c r="AH70" i="6"/>
  <c r="Z70" i="6"/>
  <c r="U70" i="6"/>
  <c r="AF70" i="6"/>
  <c r="W70" i="6"/>
  <c r="AG70" i="6"/>
  <c r="W64" i="6"/>
  <c r="AH64" i="6"/>
  <c r="U64" i="6"/>
  <c r="Z64" i="6"/>
  <c r="AE64" i="6"/>
  <c r="V64" i="6"/>
  <c r="AG64" i="6"/>
  <c r="AF56" i="6"/>
  <c r="U56" i="6"/>
  <c r="AG56" i="6"/>
  <c r="Z56" i="6"/>
  <c r="V56" i="6"/>
  <c r="W56" i="6"/>
  <c r="AH56" i="6"/>
  <c r="U48" i="6"/>
  <c r="AF48" i="6"/>
  <c r="V48" i="6"/>
  <c r="AG48" i="6"/>
  <c r="AH48" i="6"/>
  <c r="W48" i="6"/>
  <c r="AE48" i="6"/>
  <c r="V40" i="6"/>
  <c r="AH40" i="6"/>
  <c r="W40" i="6"/>
  <c r="Z40" i="6"/>
  <c r="U40" i="6"/>
  <c r="AF40" i="6"/>
  <c r="AG40" i="6"/>
  <c r="V32" i="6"/>
  <c r="AH32" i="6"/>
  <c r="W32" i="6"/>
  <c r="U32" i="6"/>
  <c r="Z32" i="6"/>
  <c r="AF32" i="6"/>
  <c r="W24" i="6"/>
  <c r="AF24" i="6"/>
  <c r="U24" i="6"/>
  <c r="AG24" i="6"/>
  <c r="AH24" i="6"/>
  <c r="Z24" i="6"/>
  <c r="V24" i="6"/>
  <c r="W16" i="6"/>
  <c r="V16" i="6"/>
  <c r="AF16" i="6"/>
  <c r="AG16" i="6"/>
  <c r="AH16" i="6"/>
  <c r="AE16" i="6"/>
  <c r="U16" i="6"/>
  <c r="Z16" i="6"/>
  <c r="U203" i="6"/>
  <c r="Z203" i="6"/>
  <c r="V203" i="6"/>
  <c r="AI111" i="6"/>
  <c r="AH10" i="6"/>
  <c r="W204" i="6"/>
  <c r="AG182" i="6"/>
  <c r="AF180" i="6"/>
  <c r="AF178" i="6"/>
  <c r="AF172" i="6"/>
  <c r="AH170" i="6"/>
  <c r="AF166" i="6"/>
  <c r="AH162" i="6"/>
  <c r="Z147" i="6"/>
  <c r="Z139" i="6"/>
  <c r="AH133" i="6"/>
  <c r="AG122" i="6"/>
  <c r="AH107" i="6"/>
  <c r="AH75" i="6"/>
  <c r="Z155" i="6"/>
  <c r="V155" i="6"/>
  <c r="W155" i="6"/>
  <c r="U155" i="6"/>
  <c r="AF155" i="6"/>
  <c r="V13" i="6"/>
  <c r="AH13" i="6"/>
  <c r="W13" i="6"/>
  <c r="U13" i="6"/>
  <c r="AG13" i="6"/>
  <c r="Z13" i="6"/>
  <c r="AF13" i="6"/>
  <c r="AG155" i="6"/>
  <c r="AG107" i="6"/>
  <c r="W176" i="6"/>
  <c r="Z176" i="6"/>
  <c r="AH176" i="6"/>
  <c r="U176" i="6"/>
  <c r="AF168" i="6"/>
  <c r="AG168" i="6"/>
  <c r="V168" i="6"/>
  <c r="W168" i="6"/>
  <c r="Z168" i="6"/>
  <c r="W160" i="6"/>
  <c r="AG160" i="6"/>
  <c r="U160" i="6"/>
  <c r="V160" i="6"/>
  <c r="Z160" i="6"/>
  <c r="AH152" i="6"/>
  <c r="AF152" i="6"/>
  <c r="V152" i="6"/>
  <c r="W152" i="6"/>
  <c r="AG152" i="6"/>
  <c r="Z144" i="6"/>
  <c r="W144" i="6"/>
  <c r="U144" i="6"/>
  <c r="AF144" i="6"/>
  <c r="AF136" i="6"/>
  <c r="W136" i="6"/>
  <c r="U136" i="6"/>
  <c r="AF128" i="6"/>
  <c r="AG128" i="6"/>
  <c r="Z128" i="6"/>
  <c r="AH128" i="6"/>
  <c r="U128" i="6"/>
  <c r="V128" i="6"/>
  <c r="AE120" i="6"/>
  <c r="U120" i="6"/>
  <c r="AF120" i="6"/>
  <c r="W120" i="6"/>
  <c r="Z120" i="6"/>
  <c r="AH120" i="6"/>
  <c r="AF112" i="6"/>
  <c r="U112" i="6"/>
  <c r="AG112" i="6"/>
  <c r="AH112" i="6"/>
  <c r="W112" i="6"/>
  <c r="AF104" i="6"/>
  <c r="AG104" i="6"/>
  <c r="W104" i="6"/>
  <c r="Z104" i="6"/>
  <c r="AH104" i="6"/>
  <c r="Z96" i="6"/>
  <c r="AH96" i="6"/>
  <c r="AF96" i="6"/>
  <c r="V96" i="6"/>
  <c r="W96" i="6"/>
  <c r="V88" i="6"/>
  <c r="AH88" i="6"/>
  <c r="AG88" i="6"/>
  <c r="W88" i="6"/>
  <c r="U88" i="6"/>
  <c r="AF88" i="6"/>
  <c r="Z88" i="6"/>
  <c r="W80" i="6"/>
  <c r="V80" i="6"/>
  <c r="AF80" i="6"/>
  <c r="Z80" i="6"/>
  <c r="AG80" i="6"/>
  <c r="AH80" i="6"/>
  <c r="Z72" i="6"/>
  <c r="V72" i="6"/>
  <c r="AF72" i="6"/>
  <c r="AG72" i="6"/>
  <c r="W72" i="6"/>
  <c r="U72" i="6"/>
  <c r="AH72" i="6"/>
  <c r="Z58" i="6"/>
  <c r="U58" i="6"/>
  <c r="W58" i="6"/>
  <c r="AF58" i="6"/>
  <c r="AH58" i="6"/>
  <c r="V58" i="6"/>
  <c r="AG58" i="6"/>
  <c r="U50" i="6"/>
  <c r="AH50" i="6"/>
  <c r="AF50" i="6"/>
  <c r="AG50" i="6"/>
  <c r="V50" i="6"/>
  <c r="Z50" i="6"/>
  <c r="Z42" i="6"/>
  <c r="AG42" i="6"/>
  <c r="AF42" i="6"/>
  <c r="U42" i="6"/>
  <c r="AH42" i="6"/>
  <c r="V42" i="6"/>
  <c r="W42" i="6"/>
  <c r="AB206" i="6"/>
  <c r="U204" i="6"/>
  <c r="Z202" i="6"/>
  <c r="V176" i="6"/>
  <c r="W174" i="6"/>
  <c r="W166" i="6"/>
  <c r="AH157" i="6"/>
  <c r="Z152" i="6"/>
  <c r="V144" i="6"/>
  <c r="AG138" i="6"/>
  <c r="V136" i="6"/>
  <c r="Z130" i="6"/>
  <c r="AF127" i="6"/>
  <c r="AH124" i="6"/>
  <c r="U96" i="6"/>
  <c r="AG81" i="6"/>
  <c r="AF64" i="6"/>
  <c r="U21" i="6"/>
  <c r="AG21" i="6"/>
  <c r="V21" i="6"/>
  <c r="AH21" i="6"/>
  <c r="Z21" i="6"/>
  <c r="W21" i="6"/>
  <c r="Z141" i="6"/>
  <c r="AB141" i="6"/>
  <c r="AH141" i="6"/>
  <c r="W141" i="6"/>
  <c r="AF141" i="6"/>
  <c r="AG141" i="6"/>
  <c r="Z125" i="6"/>
  <c r="U125" i="6"/>
  <c r="AH125" i="6"/>
  <c r="V125" i="6"/>
  <c r="W125" i="6"/>
  <c r="AF85" i="6"/>
  <c r="Z85" i="6"/>
  <c r="AG85" i="6"/>
  <c r="AH85" i="6"/>
  <c r="W85" i="6"/>
  <c r="U85" i="6"/>
  <c r="V85" i="6"/>
  <c r="AG77" i="6"/>
  <c r="Z77" i="6"/>
  <c r="U77" i="6"/>
  <c r="V77" i="6"/>
  <c r="AF77" i="6"/>
  <c r="AH77" i="6"/>
  <c r="W77" i="6"/>
  <c r="U69" i="6"/>
  <c r="V69" i="6"/>
  <c r="W69" i="6"/>
  <c r="Z69" i="6"/>
  <c r="AG69" i="6"/>
  <c r="AH69" i="6"/>
  <c r="U63" i="6"/>
  <c r="AG63" i="6"/>
  <c r="V63" i="6"/>
  <c r="AF63" i="6"/>
  <c r="AH63" i="6"/>
  <c r="Z63" i="6"/>
  <c r="W63" i="6"/>
  <c r="V55" i="6"/>
  <c r="AH55" i="6"/>
  <c r="W55" i="6"/>
  <c r="Z55" i="6"/>
  <c r="U55" i="6"/>
  <c r="AF55" i="6"/>
  <c r="W47" i="6"/>
  <c r="AH47" i="6"/>
  <c r="AG47" i="6"/>
  <c r="V47" i="6"/>
  <c r="U47" i="6"/>
  <c r="AF47" i="6"/>
  <c r="Z47" i="6"/>
  <c r="Z39" i="6"/>
  <c r="AF39" i="6"/>
  <c r="V39" i="6"/>
  <c r="W39" i="6"/>
  <c r="Z31" i="6"/>
  <c r="V31" i="6"/>
  <c r="U31" i="6"/>
  <c r="AH31" i="6"/>
  <c r="W31" i="6"/>
  <c r="AG31" i="6"/>
  <c r="AF31" i="6"/>
  <c r="AB31" i="6"/>
  <c r="Z23" i="6"/>
  <c r="AF23" i="6"/>
  <c r="AH23" i="6"/>
  <c r="U23" i="6"/>
  <c r="V23" i="6"/>
  <c r="W23" i="6"/>
  <c r="AG23" i="6"/>
  <c r="Z15" i="6"/>
  <c r="W15" i="6"/>
  <c r="V15" i="6"/>
  <c r="AF15" i="6"/>
  <c r="AG15" i="6"/>
  <c r="AH15" i="6"/>
  <c r="W208" i="6"/>
  <c r="V208" i="6"/>
  <c r="AB23" i="6"/>
  <c r="AB10" i="6"/>
  <c r="Z206" i="6"/>
  <c r="U182" i="6"/>
  <c r="AG179" i="6"/>
  <c r="AG177" i="6"/>
  <c r="AG175" i="6"/>
  <c r="AG171" i="6"/>
  <c r="U168" i="6"/>
  <c r="AH163" i="6"/>
  <c r="AG159" i="6"/>
  <c r="U152" i="6"/>
  <c r="AG143" i="6"/>
  <c r="V141" i="6"/>
  <c r="Z135" i="6"/>
  <c r="AG132" i="6"/>
  <c r="AF121" i="6"/>
  <c r="AG118" i="6"/>
  <c r="V113" i="6"/>
  <c r="U110" i="6"/>
  <c r="AH100" i="6"/>
  <c r="Z87" i="6"/>
  <c r="AH71" i="6"/>
  <c r="AG62" i="6"/>
  <c r="AF51" i="6"/>
  <c r="AH39" i="6"/>
  <c r="U15" i="6"/>
  <c r="U123" i="6"/>
  <c r="AG123" i="6"/>
  <c r="V123" i="6"/>
  <c r="AH123" i="6"/>
  <c r="AF123" i="6"/>
  <c r="W123" i="6"/>
  <c r="AF45" i="6"/>
  <c r="U45" i="6"/>
  <c r="AG45" i="6"/>
  <c r="AH45" i="6"/>
  <c r="V45" i="6"/>
  <c r="W45" i="6"/>
  <c r="Z45" i="6"/>
  <c r="AF181" i="6"/>
  <c r="U181" i="6"/>
  <c r="AH181" i="6"/>
  <c r="V181" i="6"/>
  <c r="W181" i="6"/>
  <c r="Z181" i="6"/>
  <c r="W173" i="6"/>
  <c r="AH173" i="6"/>
  <c r="U173" i="6"/>
  <c r="AG173" i="6"/>
  <c r="V173" i="6"/>
  <c r="Z173" i="6"/>
  <c r="Z165" i="6"/>
  <c r="V165" i="6"/>
  <c r="AH165" i="6"/>
  <c r="U165" i="6"/>
  <c r="AF157" i="6"/>
  <c r="U157" i="6"/>
  <c r="AG157" i="6"/>
  <c r="V157" i="6"/>
  <c r="Z157" i="6"/>
  <c r="V149" i="6"/>
  <c r="AH149" i="6"/>
  <c r="W149" i="6"/>
  <c r="AF149" i="6"/>
  <c r="U149" i="6"/>
  <c r="Z149" i="6"/>
  <c r="AG149" i="6"/>
  <c r="Z133" i="6"/>
  <c r="U133" i="6"/>
  <c r="V133" i="6"/>
  <c r="AF133" i="6"/>
  <c r="Z117" i="6"/>
  <c r="V117" i="6"/>
  <c r="AG117" i="6"/>
  <c r="AF117" i="6"/>
  <c r="AH117" i="6"/>
  <c r="U117" i="6"/>
  <c r="AF109" i="6"/>
  <c r="AH109" i="6"/>
  <c r="AG109" i="6"/>
  <c r="Z109" i="6"/>
  <c r="V109" i="6"/>
  <c r="W109" i="6"/>
  <c r="U101" i="6"/>
  <c r="AH101" i="6"/>
  <c r="V101" i="6"/>
  <c r="AG101" i="6"/>
  <c r="AF101" i="6"/>
  <c r="Z101" i="6"/>
  <c r="W101" i="6"/>
  <c r="Z93" i="6"/>
  <c r="AG93" i="6"/>
  <c r="U93" i="6"/>
  <c r="AH93" i="6"/>
  <c r="W93" i="6"/>
  <c r="V93" i="6"/>
  <c r="Z178" i="6"/>
  <c r="W178" i="6"/>
  <c r="AH178" i="6"/>
  <c r="U178" i="6"/>
  <c r="V170" i="6"/>
  <c r="W170" i="6"/>
  <c r="Z170" i="6"/>
  <c r="AF170" i="6"/>
  <c r="AF162" i="6"/>
  <c r="V162" i="6"/>
  <c r="W162" i="6"/>
  <c r="Z162" i="6"/>
  <c r="AF154" i="6"/>
  <c r="U154" i="6"/>
  <c r="AG154" i="6"/>
  <c r="V154" i="6"/>
  <c r="AH154" i="6"/>
  <c r="W154" i="6"/>
  <c r="U146" i="6"/>
  <c r="AG146" i="6"/>
  <c r="V146" i="6"/>
  <c r="AH146" i="6"/>
  <c r="AF146" i="6"/>
  <c r="Z146" i="6"/>
  <c r="W138" i="6"/>
  <c r="Z138" i="6"/>
  <c r="AF138" i="6"/>
  <c r="AH138" i="6"/>
  <c r="W130" i="6"/>
  <c r="AG130" i="6"/>
  <c r="V130" i="6"/>
  <c r="AF130" i="6"/>
  <c r="W122" i="6"/>
  <c r="V122" i="6"/>
  <c r="Z122" i="6"/>
  <c r="U114" i="6"/>
  <c r="AH114" i="6"/>
  <c r="AF114" i="6"/>
  <c r="AG114" i="6"/>
  <c r="V114" i="6"/>
  <c r="Z106" i="6"/>
  <c r="AF106" i="6"/>
  <c r="AH106" i="6"/>
  <c r="AG106" i="6"/>
  <c r="U106" i="6"/>
  <c r="W98" i="6"/>
  <c r="V98" i="6"/>
  <c r="U98" i="6"/>
  <c r="Z98" i="6"/>
  <c r="AF98" i="6"/>
  <c r="AG98" i="6"/>
  <c r="Z90" i="6"/>
  <c r="V90" i="6"/>
  <c r="AH90" i="6"/>
  <c r="U90" i="6"/>
  <c r="AG90" i="6"/>
  <c r="AF90" i="6"/>
  <c r="W90" i="6"/>
  <c r="Z82" i="6"/>
  <c r="AG82" i="6"/>
  <c r="AF82" i="6"/>
  <c r="W82" i="6"/>
  <c r="AH82" i="6"/>
  <c r="U82" i="6"/>
  <c r="V82" i="6"/>
  <c r="V74" i="6"/>
  <c r="AH74" i="6"/>
  <c r="W74" i="6"/>
  <c r="AF74" i="6"/>
  <c r="Z74" i="6"/>
  <c r="V66" i="6"/>
  <c r="AH66" i="6"/>
  <c r="U66" i="6"/>
  <c r="AG66" i="6"/>
  <c r="Z66" i="6"/>
  <c r="W66" i="6"/>
  <c r="AF66" i="6"/>
  <c r="AF60" i="6"/>
  <c r="U60" i="6"/>
  <c r="AG60" i="6"/>
  <c r="Z60" i="6"/>
  <c r="AH60" i="6"/>
  <c r="V60" i="6"/>
  <c r="AF52" i="6"/>
  <c r="U52" i="6"/>
  <c r="AG52" i="6"/>
  <c r="W52" i="6"/>
  <c r="V52" i="6"/>
  <c r="AH52" i="6"/>
  <c r="Z52" i="6"/>
  <c r="V44" i="6"/>
  <c r="AH44" i="6"/>
  <c r="W44" i="6"/>
  <c r="AG44" i="6"/>
  <c r="AF44" i="6"/>
  <c r="Z44" i="6"/>
  <c r="U44" i="6"/>
  <c r="V36" i="6"/>
  <c r="AH36" i="6"/>
  <c r="W36" i="6"/>
  <c r="AF36" i="6"/>
  <c r="AG36" i="6"/>
  <c r="U36" i="6"/>
  <c r="Z36" i="6"/>
  <c r="W28" i="6"/>
  <c r="AH28" i="6"/>
  <c r="AG28" i="6"/>
  <c r="V28" i="6"/>
  <c r="AF28" i="6"/>
  <c r="W20" i="6"/>
  <c r="Z20" i="6"/>
  <c r="AH20" i="6"/>
  <c r="AG20" i="6"/>
  <c r="U20" i="6"/>
  <c r="AF20" i="6"/>
  <c r="U12" i="6"/>
  <c r="AH12" i="6"/>
  <c r="AF12" i="6"/>
  <c r="W12" i="6"/>
  <c r="V12" i="6"/>
  <c r="AG12" i="6"/>
  <c r="Z12" i="6"/>
  <c r="W207" i="6"/>
  <c r="AE25" i="6"/>
  <c r="W10" i="6"/>
  <c r="AG181" i="6"/>
  <c r="AF179" i="6"/>
  <c r="AF175" i="6"/>
  <c r="AF171" i="6"/>
  <c r="AH169" i="6"/>
  <c r="AF167" i="6"/>
  <c r="AF165" i="6"/>
  <c r="AG163" i="6"/>
  <c r="AH161" i="6"/>
  <c r="AF159" i="6"/>
  <c r="W157" i="6"/>
  <c r="Z154" i="6"/>
  <c r="AG151" i="6"/>
  <c r="AH148" i="6"/>
  <c r="U141" i="6"/>
  <c r="U138" i="6"/>
  <c r="Z132" i="6"/>
  <c r="AF129" i="6"/>
  <c r="AH126" i="6"/>
  <c r="W124" i="6"/>
  <c r="AF118" i="6"/>
  <c r="AG115" i="6"/>
  <c r="W106" i="6"/>
  <c r="AG100" i="6"/>
  <c r="W94" i="6"/>
  <c r="U80" i="6"/>
  <c r="AG71" i="6"/>
  <c r="AG39" i="6"/>
  <c r="U28" i="6"/>
  <c r="AF147" i="6"/>
  <c r="AG147" i="6"/>
  <c r="U147" i="6"/>
  <c r="W147" i="6"/>
  <c r="W107" i="6"/>
  <c r="AF107" i="6"/>
  <c r="U107" i="6"/>
  <c r="Z107" i="6"/>
  <c r="Z53" i="6"/>
  <c r="W53" i="6"/>
  <c r="V53" i="6"/>
  <c r="AF53" i="6"/>
  <c r="U53" i="6"/>
  <c r="AG53" i="6"/>
  <c r="AH53" i="6"/>
  <c r="W202" i="6"/>
  <c r="V202" i="6"/>
  <c r="AE143" i="6"/>
  <c r="U143" i="6"/>
  <c r="AF143" i="6"/>
  <c r="Z143" i="6"/>
  <c r="W143" i="6"/>
  <c r="AH143" i="6"/>
  <c r="V143" i="6"/>
  <c r="U127" i="6"/>
  <c r="AG127" i="6"/>
  <c r="V127" i="6"/>
  <c r="AH127" i="6"/>
  <c r="Z127" i="6"/>
  <c r="V119" i="6"/>
  <c r="AH119" i="6"/>
  <c r="W119" i="6"/>
  <c r="U119" i="6"/>
  <c r="AF119" i="6"/>
  <c r="V111" i="6"/>
  <c r="AH111" i="6"/>
  <c r="W111" i="6"/>
  <c r="AG111" i="6"/>
  <c r="AF111" i="6"/>
  <c r="U111" i="6"/>
  <c r="Z111" i="6"/>
  <c r="V65" i="6"/>
  <c r="U65" i="6"/>
  <c r="AH65" i="6"/>
  <c r="Z65" i="6"/>
  <c r="W65" i="6"/>
  <c r="AG65" i="6"/>
  <c r="AF65" i="6"/>
  <c r="Z49" i="6"/>
  <c r="U49" i="6"/>
  <c r="AH49" i="6"/>
  <c r="AF49" i="6"/>
  <c r="AG49" i="6"/>
  <c r="V49" i="6"/>
  <c r="W49" i="6"/>
  <c r="AF41" i="6"/>
  <c r="U41" i="6"/>
  <c r="AG41" i="6"/>
  <c r="Z41" i="6"/>
  <c r="V41" i="6"/>
  <c r="AH41" i="6"/>
  <c r="W41" i="6"/>
  <c r="AF33" i="6"/>
  <c r="U33" i="6"/>
  <c r="AG33" i="6"/>
  <c r="W33" i="6"/>
  <c r="V33" i="6"/>
  <c r="AH33" i="6"/>
  <c r="Z33" i="6"/>
  <c r="U25" i="6"/>
  <c r="AG25" i="6"/>
  <c r="V25" i="6"/>
  <c r="AH25" i="6"/>
  <c r="AF25" i="6"/>
  <c r="Z25" i="6"/>
  <c r="U17" i="6"/>
  <c r="AG17" i="6"/>
  <c r="V17" i="6"/>
  <c r="AH17" i="6"/>
  <c r="W17" i="6"/>
  <c r="Z17" i="6"/>
  <c r="AF17" i="6"/>
  <c r="U206" i="6"/>
  <c r="V206" i="6"/>
  <c r="W206" i="6"/>
  <c r="U202" i="6"/>
  <c r="AB177" i="6"/>
  <c r="AB173" i="6"/>
  <c r="AG169" i="6"/>
  <c r="AF163" i="6"/>
  <c r="Z159" i="6"/>
  <c r="AF151" i="6"/>
  <c r="W146" i="6"/>
  <c r="AH137" i="6"/>
  <c r="AG126" i="6"/>
  <c r="V121" i="6"/>
  <c r="Z112" i="6"/>
  <c r="V106" i="6"/>
  <c r="AF93" i="6"/>
  <c r="U39" i="6"/>
  <c r="U139" i="6"/>
  <c r="AG139" i="6"/>
  <c r="V139" i="6"/>
  <c r="AH139" i="6"/>
  <c r="W139" i="6"/>
  <c r="U131" i="6"/>
  <c r="AG131" i="6"/>
  <c r="V131" i="6"/>
  <c r="AH131" i="6"/>
  <c r="W131" i="6"/>
  <c r="Z131" i="6"/>
  <c r="V115" i="6"/>
  <c r="AH115" i="6"/>
  <c r="W115" i="6"/>
  <c r="U115" i="6"/>
  <c r="Z115" i="6"/>
  <c r="AF83" i="6"/>
  <c r="AG83" i="6"/>
  <c r="AH83" i="6"/>
  <c r="V83" i="6"/>
  <c r="W83" i="6"/>
  <c r="AF37" i="6"/>
  <c r="U37" i="6"/>
  <c r="AG37" i="6"/>
  <c r="V37" i="6"/>
  <c r="AH37" i="6"/>
  <c r="Z37" i="6"/>
  <c r="U29" i="6"/>
  <c r="AG29" i="6"/>
  <c r="V29" i="6"/>
  <c r="AH29" i="6"/>
  <c r="Z29" i="6"/>
  <c r="AF29" i="6"/>
  <c r="W29" i="6"/>
  <c r="AH175" i="6"/>
  <c r="U175" i="6"/>
  <c r="W175" i="6"/>
  <c r="U103" i="6"/>
  <c r="AG103" i="6"/>
  <c r="AF103" i="6"/>
  <c r="AH103" i="6"/>
  <c r="W103" i="6"/>
  <c r="V103" i="6"/>
  <c r="Z103" i="6"/>
  <c r="U95" i="6"/>
  <c r="AG95" i="6"/>
  <c r="Z95" i="6"/>
  <c r="AH95" i="6"/>
  <c r="AF95" i="6"/>
  <c r="V95" i="6"/>
  <c r="W95" i="6"/>
  <c r="AG87" i="6"/>
  <c r="AH87" i="6"/>
  <c r="AF87" i="6"/>
  <c r="U87" i="6"/>
  <c r="V87" i="6"/>
  <c r="W79" i="6"/>
  <c r="AF79" i="6"/>
  <c r="AH79" i="6"/>
  <c r="AG79" i="6"/>
  <c r="U79" i="6"/>
  <c r="Z79" i="6"/>
  <c r="AF71" i="6"/>
  <c r="V71" i="6"/>
  <c r="Z71" i="6"/>
  <c r="W71" i="6"/>
  <c r="Z57" i="6"/>
  <c r="AH57" i="6"/>
  <c r="AG57" i="6"/>
  <c r="AF57" i="6"/>
  <c r="W57" i="6"/>
  <c r="V180" i="6"/>
  <c r="AH180" i="6"/>
  <c r="U180" i="6"/>
  <c r="W180" i="6"/>
  <c r="Z180" i="6"/>
  <c r="V172" i="6"/>
  <c r="AH172" i="6"/>
  <c r="U172" i="6"/>
  <c r="Z172" i="6"/>
  <c r="U164" i="6"/>
  <c r="AF164" i="6"/>
  <c r="AH164" i="6"/>
  <c r="V164" i="6"/>
  <c r="Z164" i="6"/>
  <c r="W156" i="6"/>
  <c r="AH156" i="6"/>
  <c r="U156" i="6"/>
  <c r="V156" i="6"/>
  <c r="Z156" i="6"/>
  <c r="AF156" i="6"/>
  <c r="Z148" i="6"/>
  <c r="AF148" i="6"/>
  <c r="U148" i="6"/>
  <c r="V148" i="6"/>
  <c r="W148" i="6"/>
  <c r="AB148" i="6"/>
  <c r="AF140" i="6"/>
  <c r="AH140" i="6"/>
  <c r="U140" i="6"/>
  <c r="V140" i="6"/>
  <c r="Z140" i="6"/>
  <c r="AF132" i="6"/>
  <c r="U132" i="6"/>
  <c r="AH132" i="6"/>
  <c r="V132" i="6"/>
  <c r="W132" i="6"/>
  <c r="AF124" i="6"/>
  <c r="Z124" i="6"/>
  <c r="AG124" i="6"/>
  <c r="U124" i="6"/>
  <c r="AF116" i="6"/>
  <c r="U116" i="6"/>
  <c r="AG116" i="6"/>
  <c r="V116" i="6"/>
  <c r="Z116" i="6"/>
  <c r="AH116" i="6"/>
  <c r="U108" i="6"/>
  <c r="AG108" i="6"/>
  <c r="V108" i="6"/>
  <c r="AH108" i="6"/>
  <c r="AF108" i="6"/>
  <c r="Z108" i="6"/>
  <c r="V100" i="6"/>
  <c r="W100" i="6"/>
  <c r="AF100" i="6"/>
  <c r="Z100" i="6"/>
  <c r="U92" i="6"/>
  <c r="AF92" i="6"/>
  <c r="AH92" i="6"/>
  <c r="V92" i="6"/>
  <c r="W92" i="6"/>
  <c r="Z92" i="6"/>
  <c r="AG92" i="6"/>
  <c r="V84" i="6"/>
  <c r="AH84" i="6"/>
  <c r="AF84" i="6"/>
  <c r="AG84" i="6"/>
  <c r="U84" i="6"/>
  <c r="W84" i="6"/>
  <c r="Z84" i="6"/>
  <c r="Z76" i="6"/>
  <c r="U76" i="6"/>
  <c r="AH76" i="6"/>
  <c r="W76" i="6"/>
  <c r="AG76" i="6"/>
  <c r="AF76" i="6"/>
  <c r="Z68" i="6"/>
  <c r="AF68" i="6"/>
  <c r="U68" i="6"/>
  <c r="V68" i="6"/>
  <c r="AH68" i="6"/>
  <c r="AG68" i="6"/>
  <c r="W68" i="6"/>
  <c r="W62" i="6"/>
  <c r="Z62" i="6"/>
  <c r="U62" i="6"/>
  <c r="V62" i="6"/>
  <c r="AH62" i="6"/>
  <c r="W54" i="6"/>
  <c r="V54" i="6"/>
  <c r="AH54" i="6"/>
  <c r="AF54" i="6"/>
  <c r="Z54" i="6"/>
  <c r="AG54" i="6"/>
  <c r="Z46" i="6"/>
  <c r="AB46" i="6"/>
  <c r="U46" i="6"/>
  <c r="AH46" i="6"/>
  <c r="AG46" i="6"/>
  <c r="AF46" i="6"/>
  <c r="W46" i="6"/>
  <c r="Z38" i="6"/>
  <c r="V38" i="6"/>
  <c r="AF38" i="6"/>
  <c r="AG38" i="6"/>
  <c r="W38" i="6"/>
  <c r="U38" i="6"/>
  <c r="AH38" i="6"/>
  <c r="AF30" i="6"/>
  <c r="V30" i="6"/>
  <c r="U30" i="6"/>
  <c r="Z30" i="6"/>
  <c r="W30" i="6"/>
  <c r="AG30" i="6"/>
  <c r="AH30" i="6"/>
  <c r="AF22" i="6"/>
  <c r="Z22" i="6"/>
  <c r="AG22" i="6"/>
  <c r="V22" i="6"/>
  <c r="U22" i="6"/>
  <c r="AH22" i="6"/>
  <c r="W22" i="6"/>
  <c r="AF14" i="6"/>
  <c r="U14" i="6"/>
  <c r="AG14" i="6"/>
  <c r="W14" i="6"/>
  <c r="V14" i="6"/>
  <c r="Z14" i="6"/>
  <c r="W205" i="6"/>
  <c r="V205" i="6"/>
  <c r="W179" i="6"/>
  <c r="W177" i="6"/>
  <c r="V175" i="6"/>
  <c r="W165" i="6"/>
  <c r="AB156" i="6"/>
  <c r="AF153" i="6"/>
  <c r="AF145" i="6"/>
  <c r="AG142" i="6"/>
  <c r="W140" i="6"/>
  <c r="AF131" i="6"/>
  <c r="Z123" i="6"/>
  <c r="AG120" i="6"/>
  <c r="U118" i="6"/>
  <c r="V112" i="6"/>
  <c r="U109" i="6"/>
  <c r="AG105" i="6"/>
  <c r="AH98" i="6"/>
  <c r="U78" i="6"/>
  <c r="AF69" i="6"/>
  <c r="W60" i="6"/>
  <c r="Z48" i="6"/>
  <c r="W37" i="6"/>
  <c r="W25" i="6"/>
  <c r="U91" i="6"/>
  <c r="AG91" i="6"/>
  <c r="AH91" i="6"/>
  <c r="V91" i="6"/>
  <c r="AE91" i="6"/>
  <c r="Z91" i="6"/>
  <c r="AF91" i="6"/>
  <c r="Z10" i="6"/>
  <c r="AF10" i="6"/>
  <c r="U159" i="6"/>
  <c r="AH159" i="6"/>
  <c r="W159" i="6"/>
  <c r="Z151" i="6"/>
  <c r="AH151" i="6"/>
  <c r="U151" i="6"/>
  <c r="W151" i="6"/>
  <c r="U135" i="6"/>
  <c r="AG135" i="6"/>
  <c r="V135" i="6"/>
  <c r="AH135" i="6"/>
  <c r="W135" i="6"/>
  <c r="AF135" i="6"/>
  <c r="Z129" i="6"/>
  <c r="AG129" i="6"/>
  <c r="AH129" i="6"/>
  <c r="U129" i="6"/>
  <c r="W129" i="6"/>
  <c r="Z97" i="6"/>
  <c r="U97" i="6"/>
  <c r="AH97" i="6"/>
  <c r="V97" i="6"/>
  <c r="W97" i="6"/>
  <c r="AG97" i="6"/>
  <c r="AF89" i="6"/>
  <c r="W89" i="6"/>
  <c r="AH89" i="6"/>
  <c r="U89" i="6"/>
  <c r="Z89" i="6"/>
  <c r="AG89" i="6"/>
  <c r="W73" i="6"/>
  <c r="V73" i="6"/>
  <c r="AG73" i="6"/>
  <c r="AH73" i="6"/>
  <c r="AF73" i="6"/>
  <c r="Z73" i="6"/>
  <c r="U73" i="6"/>
  <c r="V59" i="6"/>
  <c r="AH59" i="6"/>
  <c r="W59" i="6"/>
  <c r="Z59" i="6"/>
  <c r="AF59" i="6"/>
  <c r="AG59" i="6"/>
  <c r="U59" i="6"/>
  <c r="V51" i="6"/>
  <c r="AH51" i="6"/>
  <c r="W51" i="6"/>
  <c r="U51" i="6"/>
  <c r="Z51" i="6"/>
  <c r="AG51" i="6"/>
  <c r="AG43" i="6"/>
  <c r="AF43" i="6"/>
  <c r="AH43" i="6"/>
  <c r="W43" i="6"/>
  <c r="Z43" i="6"/>
  <c r="V43" i="6"/>
  <c r="W35" i="6"/>
  <c r="V35" i="6"/>
  <c r="Z35" i="6"/>
  <c r="U35" i="6"/>
  <c r="AH35" i="6"/>
  <c r="AF35" i="6"/>
  <c r="AG35" i="6"/>
  <c r="Z27" i="6"/>
  <c r="AH27" i="6"/>
  <c r="AG27" i="6"/>
  <c r="U27" i="6"/>
  <c r="V27" i="6"/>
  <c r="W27" i="6"/>
  <c r="AF27" i="6"/>
  <c r="Z19" i="6"/>
  <c r="W19" i="6"/>
  <c r="AF19" i="6"/>
  <c r="AG19" i="6"/>
  <c r="U19" i="6"/>
  <c r="V19" i="6"/>
  <c r="AH19" i="6"/>
  <c r="Z11" i="6"/>
  <c r="U11" i="6"/>
  <c r="AH11" i="6"/>
  <c r="W11" i="6"/>
  <c r="AF11" i="6"/>
  <c r="AG11" i="6"/>
  <c r="Z204" i="6"/>
  <c r="U10" i="6"/>
  <c r="Z208" i="6"/>
  <c r="AA204" i="6"/>
  <c r="AH182" i="6"/>
  <c r="AG180" i="6"/>
  <c r="AG178" i="6"/>
  <c r="AG176" i="6"/>
  <c r="AG174" i="6"/>
  <c r="AG172" i="6"/>
  <c r="AI170" i="6"/>
  <c r="U169" i="6"/>
  <c r="AG166" i="6"/>
  <c r="AG164" i="6"/>
  <c r="U163" i="6"/>
  <c r="AH160" i="6"/>
  <c r="AF158" i="6"/>
  <c r="AI155" i="6"/>
  <c r="Z150" i="6"/>
  <c r="AH147" i="6"/>
  <c r="U145" i="6"/>
  <c r="AF139" i="6"/>
  <c r="AH136" i="6"/>
  <c r="V134" i="6"/>
  <c r="AG125" i="6"/>
  <c r="AH122" i="6"/>
  <c r="W108" i="6"/>
  <c r="V104" i="6"/>
  <c r="AF97" i="6"/>
  <c r="Z83" i="6"/>
  <c r="V76" i="6"/>
  <c r="Z67" i="6"/>
  <c r="V57" i="6"/>
  <c r="V46" i="6"/>
  <c r="AF21" i="6"/>
  <c r="Z34" i="6"/>
  <c r="W34" i="6"/>
  <c r="V34" i="6"/>
  <c r="U34" i="6"/>
  <c r="AH34" i="6"/>
  <c r="AF26" i="6"/>
  <c r="AH26" i="6"/>
  <c r="AG26" i="6"/>
  <c r="Z26" i="6"/>
  <c r="V26" i="6"/>
  <c r="W26" i="6"/>
  <c r="AF18" i="6"/>
  <c r="W18" i="6"/>
  <c r="V18" i="6"/>
  <c r="AH18" i="6"/>
  <c r="AA38" i="6"/>
  <c r="U209" i="6"/>
  <c r="U26" i="6"/>
  <c r="AG18" i="6"/>
  <c r="Z18" i="6"/>
  <c r="AG34" i="6"/>
  <c r="AB204" i="6"/>
  <c r="AA203" i="6"/>
  <c r="AE181" i="6"/>
  <c r="AE175" i="6"/>
  <c r="AB165" i="6"/>
  <c r="AE163" i="6"/>
  <c r="AE158" i="6"/>
  <c r="AB135" i="6"/>
  <c r="AA102" i="6"/>
  <c r="AB79" i="6"/>
  <c r="AE75" i="6"/>
  <c r="AA14" i="6"/>
  <c r="AA10" i="6"/>
  <c r="AB181" i="6"/>
  <c r="AE179" i="6"/>
  <c r="AB169" i="6"/>
  <c r="AE166" i="6"/>
  <c r="AB163" i="6"/>
  <c r="AI162" i="6"/>
  <c r="AE160" i="6"/>
  <c r="AB158" i="6"/>
  <c r="AA156" i="6"/>
  <c r="AE150" i="6"/>
  <c r="AA117" i="6"/>
  <c r="AE113" i="6"/>
  <c r="AA104" i="6"/>
  <c r="AE97" i="6"/>
  <c r="AB71" i="6"/>
  <c r="AA46" i="6"/>
  <c r="AE182" i="6"/>
  <c r="AB179" i="6"/>
  <c r="AI178" i="6"/>
  <c r="AB172" i="6"/>
  <c r="AA171" i="6"/>
  <c r="AE168" i="6"/>
  <c r="AB166" i="6"/>
  <c r="AA164" i="6"/>
  <c r="AI163" i="6"/>
  <c r="AE152" i="6"/>
  <c r="AB150" i="6"/>
  <c r="AA148" i="6"/>
  <c r="AE142" i="6"/>
  <c r="AE136" i="6"/>
  <c r="AB97" i="6"/>
  <c r="AB205" i="6"/>
  <c r="AB180" i="6"/>
  <c r="AA179" i="6"/>
  <c r="AE176" i="6"/>
  <c r="AB174" i="6"/>
  <c r="AA172" i="6"/>
  <c r="AI171" i="6"/>
  <c r="AE159" i="6"/>
  <c r="AB157" i="6"/>
  <c r="AE139" i="6"/>
  <c r="AI124" i="6"/>
  <c r="AB87" i="6"/>
  <c r="AE83" i="6"/>
  <c r="AI68" i="6"/>
  <c r="AA37" i="6"/>
  <c r="AE33" i="6"/>
  <c r="AB182" i="6"/>
  <c r="AA180" i="6"/>
  <c r="AI179" i="6"/>
  <c r="AE165" i="6"/>
  <c r="AA155" i="6"/>
  <c r="AI146" i="6"/>
  <c r="AE144" i="6"/>
  <c r="AB142" i="6"/>
  <c r="AE128" i="6"/>
  <c r="AA125" i="6"/>
  <c r="AA112" i="6"/>
  <c r="AE105" i="6"/>
  <c r="AB209" i="6"/>
  <c r="AB203" i="6"/>
  <c r="AE173" i="6"/>
  <c r="AE167" i="6"/>
  <c r="AE151" i="6"/>
  <c r="AB149" i="6"/>
  <c r="AA147" i="6"/>
  <c r="AB118" i="6"/>
  <c r="AB102" i="6"/>
  <c r="AB89" i="6"/>
  <c r="AB14" i="6"/>
  <c r="AI18" i="6"/>
  <c r="AI26" i="6"/>
  <c r="AI34" i="6"/>
  <c r="AI42" i="6"/>
  <c r="AI50" i="6"/>
  <c r="AI58" i="6"/>
  <c r="AI66" i="6"/>
  <c r="AI74" i="6"/>
  <c r="AI82" i="6"/>
  <c r="AI90" i="6"/>
  <c r="AI98" i="6"/>
  <c r="AI106" i="6"/>
  <c r="AI114" i="6"/>
  <c r="AI122" i="6"/>
  <c r="AI130" i="6"/>
  <c r="AI138" i="6"/>
  <c r="AI17" i="6"/>
  <c r="AI25" i="6"/>
  <c r="AI33" i="6"/>
  <c r="AI41" i="6"/>
  <c r="AI49" i="6"/>
  <c r="AI57" i="6"/>
  <c r="AI65" i="6"/>
  <c r="AI73" i="6"/>
  <c r="AI81" i="6"/>
  <c r="AI89" i="6"/>
  <c r="AI97" i="6"/>
  <c r="AI105" i="6"/>
  <c r="AI113" i="6"/>
  <c r="AI121" i="6"/>
  <c r="AI129" i="6"/>
  <c r="AI137" i="6"/>
  <c r="AI16" i="6"/>
  <c r="AI24" i="6"/>
  <c r="AI32" i="6"/>
  <c r="AI40" i="6"/>
  <c r="AI48" i="6"/>
  <c r="AI56" i="6"/>
  <c r="AI64" i="6"/>
  <c r="AI72" i="6"/>
  <c r="AI80" i="6"/>
  <c r="AI88" i="6"/>
  <c r="AI96" i="6"/>
  <c r="AI104" i="6"/>
  <c r="AI112" i="6"/>
  <c r="AI120" i="6"/>
  <c r="AI128" i="6"/>
  <c r="AI136" i="6"/>
  <c r="AI15" i="6"/>
  <c r="AI23" i="6"/>
  <c r="AI31" i="6"/>
  <c r="AI39" i="6"/>
  <c r="AI47" i="6"/>
  <c r="AI55" i="6"/>
  <c r="AI14" i="6"/>
  <c r="AI22" i="6"/>
  <c r="AI30" i="6"/>
  <c r="AI38" i="6"/>
  <c r="AI46" i="6"/>
  <c r="AI54" i="6"/>
  <c r="AI62" i="6"/>
  <c r="AI70" i="6"/>
  <c r="AI78" i="6"/>
  <c r="AI86" i="6"/>
  <c r="AI94" i="6"/>
  <c r="AI102" i="6"/>
  <c r="AI110" i="6"/>
  <c r="AI118" i="6"/>
  <c r="AI126" i="6"/>
  <c r="AI134" i="6"/>
  <c r="AI11" i="6"/>
  <c r="AI19" i="6"/>
  <c r="AI27" i="6"/>
  <c r="AI35" i="6"/>
  <c r="AI43" i="6"/>
  <c r="AI51" i="6"/>
  <c r="AI59" i="6"/>
  <c r="AI67" i="6"/>
  <c r="AI75" i="6"/>
  <c r="AI83" i="6"/>
  <c r="AI91" i="6"/>
  <c r="AI99" i="6"/>
  <c r="AI107" i="6"/>
  <c r="AI115" i="6"/>
  <c r="AI123" i="6"/>
  <c r="AI131" i="6"/>
  <c r="AI139" i="6"/>
  <c r="AI12" i="6"/>
  <c r="AI29" i="6"/>
  <c r="AI44" i="6"/>
  <c r="AI69" i="6"/>
  <c r="AI87" i="6"/>
  <c r="AI100" i="6"/>
  <c r="AI133" i="6"/>
  <c r="AI143" i="6"/>
  <c r="AI151" i="6"/>
  <c r="AI159" i="6"/>
  <c r="AI167" i="6"/>
  <c r="AI175" i="6"/>
  <c r="AI61" i="6"/>
  <c r="AI79" i="6"/>
  <c r="AI92" i="6"/>
  <c r="AI125" i="6"/>
  <c r="AI142" i="6"/>
  <c r="AI150" i="6"/>
  <c r="AI158" i="6"/>
  <c r="AI166" i="6"/>
  <c r="AI174" i="6"/>
  <c r="AI182" i="6"/>
  <c r="AI180" i="6"/>
  <c r="AI10" i="6"/>
  <c r="AI45" i="6"/>
  <c r="AI20" i="6"/>
  <c r="AI37" i="6"/>
  <c r="AI52" i="6"/>
  <c r="AI71" i="6"/>
  <c r="AI84" i="6"/>
  <c r="AI117" i="6"/>
  <c r="AI135" i="6"/>
  <c r="AI141" i="6"/>
  <c r="AI149" i="6"/>
  <c r="AI157" i="6"/>
  <c r="AI165" i="6"/>
  <c r="AI173" i="6"/>
  <c r="AI181" i="6"/>
  <c r="AI172" i="6"/>
  <c r="AI63" i="6"/>
  <c r="AI76" i="6"/>
  <c r="AI109" i="6"/>
  <c r="AI127" i="6"/>
  <c r="AI140" i="6"/>
  <c r="AI148" i="6"/>
  <c r="AI156" i="6"/>
  <c r="AI164" i="6"/>
  <c r="AI13" i="6"/>
  <c r="AI28" i="6"/>
  <c r="AI21" i="6"/>
  <c r="AI36" i="6"/>
  <c r="AI53" i="6"/>
  <c r="AI85" i="6"/>
  <c r="AI103" i="6"/>
  <c r="AI116" i="6"/>
  <c r="AI145" i="6"/>
  <c r="AI153" i="6"/>
  <c r="AI161" i="6"/>
  <c r="AI169" i="6"/>
  <c r="AI177" i="6"/>
  <c r="AI77" i="6"/>
  <c r="AI95" i="6"/>
  <c r="AI108" i="6"/>
  <c r="AI144" i="6"/>
  <c r="AI152" i="6"/>
  <c r="AI160" i="6"/>
  <c r="AI168" i="6"/>
  <c r="AI176" i="6"/>
  <c r="AI93" i="6"/>
  <c r="AI154" i="6"/>
  <c r="AI147" i="6"/>
  <c r="AI60" i="6"/>
  <c r="AI119" i="6"/>
  <c r="AI132" i="6"/>
  <c r="AI101" i="6"/>
  <c r="AA173" i="6"/>
  <c r="AA208" i="6"/>
  <c r="AE10" i="6"/>
  <c r="AA209" i="6"/>
  <c r="AB202" i="6"/>
  <c r="AE180" i="6"/>
  <c r="AB178" i="6"/>
  <c r="AA177" i="6"/>
  <c r="AE172" i="6"/>
  <c r="AB170" i="6"/>
  <c r="AA169" i="6"/>
  <c r="AE164" i="6"/>
  <c r="AB162" i="6"/>
  <c r="AA161" i="6"/>
  <c r="AE156" i="6"/>
  <c r="AB154" i="6"/>
  <c r="AA153" i="6"/>
  <c r="AE148" i="6"/>
  <c r="AB146" i="6"/>
  <c r="AA145" i="6"/>
  <c r="AB129" i="6"/>
  <c r="AE123" i="6"/>
  <c r="AB119" i="6"/>
  <c r="AE104" i="6"/>
  <c r="AA101" i="6"/>
  <c r="AA88" i="6"/>
  <c r="AB86" i="6"/>
  <c r="AE81" i="6"/>
  <c r="AA78" i="6"/>
  <c r="AB65" i="6"/>
  <c r="AE59" i="6"/>
  <c r="AE56" i="6"/>
  <c r="AB54" i="6"/>
  <c r="AA45" i="6"/>
  <c r="AB39" i="6"/>
  <c r="AE24" i="6"/>
  <c r="AB22" i="6"/>
  <c r="AA13" i="6"/>
  <c r="AA202" i="6"/>
  <c r="AA178" i="6"/>
  <c r="AA170" i="6"/>
  <c r="AA162" i="6"/>
  <c r="AE157" i="6"/>
  <c r="AB155" i="6"/>
  <c r="AA154" i="6"/>
  <c r="AE149" i="6"/>
  <c r="AB147" i="6"/>
  <c r="AA146" i="6"/>
  <c r="AE141" i="6"/>
  <c r="AB137" i="6"/>
  <c r="AE131" i="6"/>
  <c r="AB127" i="6"/>
  <c r="AE112" i="6"/>
  <c r="AA109" i="6"/>
  <c r="AA96" i="6"/>
  <c r="AB94" i="6"/>
  <c r="AE89" i="6"/>
  <c r="AA86" i="6"/>
  <c r="AB73" i="6"/>
  <c r="AE67" i="6"/>
  <c r="AB63" i="6"/>
  <c r="AA54" i="6"/>
  <c r="AE41" i="6"/>
  <c r="AA22" i="6"/>
  <c r="AA165" i="6"/>
  <c r="AA157" i="6"/>
  <c r="AA149" i="6"/>
  <c r="AA141" i="6"/>
  <c r="AA133" i="6"/>
  <c r="AA120" i="6"/>
  <c r="AA110" i="6"/>
  <c r="AE72" i="6"/>
  <c r="AA69" i="6"/>
  <c r="AB55" i="6"/>
  <c r="AE40" i="6"/>
  <c r="AB38" i="6"/>
  <c r="AA29" i="6"/>
  <c r="AA181" i="6"/>
  <c r="AB12" i="6"/>
  <c r="AB20" i="6"/>
  <c r="AB28" i="6"/>
  <c r="AB36" i="6"/>
  <c r="AB44" i="6"/>
  <c r="AB52" i="6"/>
  <c r="AB60" i="6"/>
  <c r="AB68" i="6"/>
  <c r="AB76" i="6"/>
  <c r="AB84" i="6"/>
  <c r="AB92" i="6"/>
  <c r="AB100" i="6"/>
  <c r="AB108" i="6"/>
  <c r="AB116" i="6"/>
  <c r="AB124" i="6"/>
  <c r="AB132" i="6"/>
  <c r="AB140" i="6"/>
  <c r="AB11" i="6"/>
  <c r="AB19" i="6"/>
  <c r="AB27" i="6"/>
  <c r="AB35" i="6"/>
  <c r="AB43" i="6"/>
  <c r="AB51" i="6"/>
  <c r="AB59" i="6"/>
  <c r="AB67" i="6"/>
  <c r="AB75" i="6"/>
  <c r="AB83" i="6"/>
  <c r="AB91" i="6"/>
  <c r="AB99" i="6"/>
  <c r="AB107" i="6"/>
  <c r="AB115" i="6"/>
  <c r="AB123" i="6"/>
  <c r="AB131" i="6"/>
  <c r="AB139" i="6"/>
  <c r="AB18" i="6"/>
  <c r="AB26" i="6"/>
  <c r="AB34" i="6"/>
  <c r="AB42" i="6"/>
  <c r="AB50" i="6"/>
  <c r="AB58" i="6"/>
  <c r="AB66" i="6"/>
  <c r="AB74" i="6"/>
  <c r="AB82" i="6"/>
  <c r="AB90" i="6"/>
  <c r="AB98" i="6"/>
  <c r="AB106" i="6"/>
  <c r="AB114" i="6"/>
  <c r="AB122" i="6"/>
  <c r="AB130" i="6"/>
  <c r="AB138" i="6"/>
  <c r="AB17" i="6"/>
  <c r="AB25" i="6"/>
  <c r="AB33" i="6"/>
  <c r="AB41" i="6"/>
  <c r="AB49" i="6"/>
  <c r="AB57" i="6"/>
  <c r="AB16" i="6"/>
  <c r="AB24" i="6"/>
  <c r="AB32" i="6"/>
  <c r="AB40" i="6"/>
  <c r="AB48" i="6"/>
  <c r="AB56" i="6"/>
  <c r="AB64" i="6"/>
  <c r="AB72" i="6"/>
  <c r="AB80" i="6"/>
  <c r="AB88" i="6"/>
  <c r="AB96" i="6"/>
  <c r="AB104" i="6"/>
  <c r="AB112" i="6"/>
  <c r="AB120" i="6"/>
  <c r="AB128" i="6"/>
  <c r="AB136" i="6"/>
  <c r="AB13" i="6"/>
  <c r="AB21" i="6"/>
  <c r="AB29" i="6"/>
  <c r="AB37" i="6"/>
  <c r="AB45" i="6"/>
  <c r="AB53" i="6"/>
  <c r="AB61" i="6"/>
  <c r="AB69" i="6"/>
  <c r="AB77" i="6"/>
  <c r="AB85" i="6"/>
  <c r="AB93" i="6"/>
  <c r="AB101" i="6"/>
  <c r="AB109" i="6"/>
  <c r="AB117" i="6"/>
  <c r="AB125" i="6"/>
  <c r="AB133" i="6"/>
  <c r="AB207" i="6"/>
  <c r="AA206" i="6"/>
  <c r="AA182" i="6"/>
  <c r="AE177" i="6"/>
  <c r="AB175" i="6"/>
  <c r="AA174" i="6"/>
  <c r="AE169" i="6"/>
  <c r="AB167" i="6"/>
  <c r="AA166" i="6"/>
  <c r="AE161" i="6"/>
  <c r="AB159" i="6"/>
  <c r="AA158" i="6"/>
  <c r="AE153" i="6"/>
  <c r="AB151" i="6"/>
  <c r="AA150" i="6"/>
  <c r="AE145" i="6"/>
  <c r="AB143" i="6"/>
  <c r="AA142" i="6"/>
  <c r="AA128" i="6"/>
  <c r="AB126" i="6"/>
  <c r="AE121" i="6"/>
  <c r="AA118" i="6"/>
  <c r="AB105" i="6"/>
  <c r="AE99" i="6"/>
  <c r="AB95" i="6"/>
  <c r="AE80" i="6"/>
  <c r="AA77" i="6"/>
  <c r="AA64" i="6"/>
  <c r="AB62" i="6"/>
  <c r="AE57" i="6"/>
  <c r="AA11" i="6"/>
  <c r="AA19" i="6"/>
  <c r="AA27" i="6"/>
  <c r="AA35" i="6"/>
  <c r="AA43" i="6"/>
  <c r="AA51" i="6"/>
  <c r="AA59" i="6"/>
  <c r="AA67" i="6"/>
  <c r="AA75" i="6"/>
  <c r="AA83" i="6"/>
  <c r="AA91" i="6"/>
  <c r="AA99" i="6"/>
  <c r="AA107" i="6"/>
  <c r="AA115" i="6"/>
  <c r="AA123" i="6"/>
  <c r="AA131" i="6"/>
  <c r="AA139" i="6"/>
  <c r="AA18" i="6"/>
  <c r="AA26" i="6"/>
  <c r="AA34" i="6"/>
  <c r="AA42" i="6"/>
  <c r="AA50" i="6"/>
  <c r="AA58" i="6"/>
  <c r="AA66" i="6"/>
  <c r="AA74" i="6"/>
  <c r="AA82" i="6"/>
  <c r="AA90" i="6"/>
  <c r="AA98" i="6"/>
  <c r="AA106" i="6"/>
  <c r="AA114" i="6"/>
  <c r="AA122" i="6"/>
  <c r="AA130" i="6"/>
  <c r="AA138" i="6"/>
  <c r="AA17" i="6"/>
  <c r="AA25" i="6"/>
  <c r="AA33" i="6"/>
  <c r="AA41" i="6"/>
  <c r="AA49" i="6"/>
  <c r="AA57" i="6"/>
  <c r="AA65" i="6"/>
  <c r="AA73" i="6"/>
  <c r="AA81" i="6"/>
  <c r="AA89" i="6"/>
  <c r="AA97" i="6"/>
  <c r="AA105" i="6"/>
  <c r="AA113" i="6"/>
  <c r="AA121" i="6"/>
  <c r="AA129" i="6"/>
  <c r="AA137" i="6"/>
  <c r="AA16" i="6"/>
  <c r="AA24" i="6"/>
  <c r="AA32" i="6"/>
  <c r="AA40" i="6"/>
  <c r="AA48" i="6"/>
  <c r="AA56" i="6"/>
  <c r="AA15" i="6"/>
  <c r="AA23" i="6"/>
  <c r="AA31" i="6"/>
  <c r="AA39" i="6"/>
  <c r="AA47" i="6"/>
  <c r="AA55" i="6"/>
  <c r="AA63" i="6"/>
  <c r="AA71" i="6"/>
  <c r="AA79" i="6"/>
  <c r="AA87" i="6"/>
  <c r="AA95" i="6"/>
  <c r="AA103" i="6"/>
  <c r="AA111" i="6"/>
  <c r="AA119" i="6"/>
  <c r="AA127" i="6"/>
  <c r="AA135" i="6"/>
  <c r="AA12" i="6"/>
  <c r="AA20" i="6"/>
  <c r="AA28" i="6"/>
  <c r="AA36" i="6"/>
  <c r="AA44" i="6"/>
  <c r="AA52" i="6"/>
  <c r="AA60" i="6"/>
  <c r="AA68" i="6"/>
  <c r="AA76" i="6"/>
  <c r="AA84" i="6"/>
  <c r="AA92" i="6"/>
  <c r="AA100" i="6"/>
  <c r="AA108" i="6"/>
  <c r="AA116" i="6"/>
  <c r="AA124" i="6"/>
  <c r="AA132" i="6"/>
  <c r="AA140" i="6"/>
  <c r="AA205" i="6"/>
  <c r="AE14" i="6"/>
  <c r="AE22" i="6"/>
  <c r="AE30" i="6"/>
  <c r="AE38" i="6"/>
  <c r="AE46" i="6"/>
  <c r="AE54" i="6"/>
  <c r="AE62" i="6"/>
  <c r="AE70" i="6"/>
  <c r="AE78" i="6"/>
  <c r="AE86" i="6"/>
  <c r="AE94" i="6"/>
  <c r="AE102" i="6"/>
  <c r="AE110" i="6"/>
  <c r="AE118" i="6"/>
  <c r="AE126" i="6"/>
  <c r="AE134" i="6"/>
  <c r="AE13" i="6"/>
  <c r="AE21" i="6"/>
  <c r="AE29" i="6"/>
  <c r="AE37" i="6"/>
  <c r="AE45" i="6"/>
  <c r="AE53" i="6"/>
  <c r="AE61" i="6"/>
  <c r="AE69" i="6"/>
  <c r="AE77" i="6"/>
  <c r="AE85" i="6"/>
  <c r="AE93" i="6"/>
  <c r="AE101" i="6"/>
  <c r="AE109" i="6"/>
  <c r="AE117" i="6"/>
  <c r="AE125" i="6"/>
  <c r="AE133" i="6"/>
  <c r="AE12" i="6"/>
  <c r="AE20" i="6"/>
  <c r="AE28" i="6"/>
  <c r="AE36" i="6"/>
  <c r="AE44" i="6"/>
  <c r="AE52" i="6"/>
  <c r="AE60" i="6"/>
  <c r="AE68" i="6"/>
  <c r="AE76" i="6"/>
  <c r="AE84" i="6"/>
  <c r="AE92" i="6"/>
  <c r="AE100" i="6"/>
  <c r="AE108" i="6"/>
  <c r="AE116" i="6"/>
  <c r="AE124" i="6"/>
  <c r="AE132" i="6"/>
  <c r="AE140" i="6"/>
  <c r="AE11" i="6"/>
  <c r="AE19" i="6"/>
  <c r="AE27" i="6"/>
  <c r="AE35" i="6"/>
  <c r="AE43" i="6"/>
  <c r="AE51" i="6"/>
  <c r="AE18" i="6"/>
  <c r="AE26" i="6"/>
  <c r="AE34" i="6"/>
  <c r="AE42" i="6"/>
  <c r="AE50" i="6"/>
  <c r="AE58" i="6"/>
  <c r="AE66" i="6"/>
  <c r="AE74" i="6"/>
  <c r="AE82" i="6"/>
  <c r="AE90" i="6"/>
  <c r="AE98" i="6"/>
  <c r="AE106" i="6"/>
  <c r="AE114" i="6"/>
  <c r="AE122" i="6"/>
  <c r="AE130" i="6"/>
  <c r="AE138" i="6"/>
  <c r="AE15" i="6"/>
  <c r="AE23" i="6"/>
  <c r="AE31" i="6"/>
  <c r="AE39" i="6"/>
  <c r="AE47" i="6"/>
  <c r="AE55" i="6"/>
  <c r="AE63" i="6"/>
  <c r="AE71" i="6"/>
  <c r="AE79" i="6"/>
  <c r="AE87" i="6"/>
  <c r="AE95" i="6"/>
  <c r="AE103" i="6"/>
  <c r="AE111" i="6"/>
  <c r="AE119" i="6"/>
  <c r="AE127" i="6"/>
  <c r="AE135" i="6"/>
  <c r="AB208" i="6"/>
  <c r="AA207" i="6"/>
  <c r="AE178" i="6"/>
  <c r="AB176" i="6"/>
  <c r="AA175" i="6"/>
  <c r="AE170" i="6"/>
  <c r="AB168" i="6"/>
  <c r="AA167" i="6"/>
  <c r="AE162" i="6"/>
  <c r="AB160" i="6"/>
  <c r="AA159" i="6"/>
  <c r="AE154" i="6"/>
  <c r="AB152" i="6"/>
  <c r="AA151" i="6"/>
  <c r="AE146" i="6"/>
  <c r="AB144" i="6"/>
  <c r="AA143" i="6"/>
  <c r="AA136" i="6"/>
  <c r="AB134" i="6"/>
  <c r="AE129" i="6"/>
  <c r="AA126" i="6"/>
  <c r="AB113" i="6"/>
  <c r="AE107" i="6"/>
  <c r="AB103" i="6"/>
  <c r="AE88" i="6"/>
  <c r="AA85" i="6"/>
  <c r="AA72" i="6"/>
  <c r="AB70" i="6"/>
  <c r="AE65" i="6"/>
  <c r="AA62" i="6"/>
  <c r="AA53" i="6"/>
  <c r="AB47" i="6"/>
  <c r="AE32" i="6"/>
  <c r="AB30" i="6"/>
  <c r="AA21" i="6"/>
  <c r="AB15" i="6"/>
  <c r="AA176" i="6"/>
  <c r="AA168" i="6"/>
  <c r="AB161" i="6"/>
  <c r="AA160" i="6"/>
  <c r="AE155" i="6"/>
  <c r="AB153" i="6"/>
  <c r="AA152" i="6"/>
  <c r="AE147" i="6"/>
  <c r="AB145" i="6"/>
  <c r="AA144" i="6"/>
  <c r="AE137" i="6"/>
  <c r="AA134" i="6"/>
  <c r="AB121" i="6"/>
  <c r="AE115" i="6"/>
  <c r="AB111" i="6"/>
  <c r="AE96" i="6"/>
  <c r="AA93" i="6"/>
  <c r="AA80" i="6"/>
  <c r="AB78" i="6"/>
  <c r="AE73" i="6"/>
  <c r="AA70" i="6"/>
  <c r="AE49" i="6"/>
  <c r="AA30" i="6"/>
  <c r="AE17" i="6"/>
  <c r="AT11" i="6" l="1"/>
  <c r="AT27" i="6"/>
  <c r="BG39" i="6"/>
  <c r="BI39" i="6" s="1"/>
  <c r="BK39" i="6" s="1"/>
  <c r="BM39" i="6" s="1"/>
  <c r="BO39" i="6" s="1"/>
  <c r="AT51" i="6"/>
  <c r="AU103" i="6"/>
  <c r="X103" i="6" s="1"/>
  <c r="AV103" i="6"/>
  <c r="AX103" i="6" s="1"/>
  <c r="AZ103" i="6" s="1"/>
  <c r="AU135" i="6"/>
  <c r="X135" i="6" s="1"/>
  <c r="AV135" i="6"/>
  <c r="AX135" i="6" s="1"/>
  <c r="AZ135" i="6" s="1"/>
  <c r="AU159" i="6"/>
  <c r="X159" i="6" s="1"/>
  <c r="AV159" i="6"/>
  <c r="AX159" i="6" s="1"/>
  <c r="AZ159" i="6" s="1"/>
  <c r="BH175" i="6"/>
  <c r="AC175" i="6" s="1"/>
  <c r="BI175" i="6"/>
  <c r="BK175" i="6" s="1"/>
  <c r="BM175" i="6" s="1"/>
  <c r="BO175" i="6" s="1"/>
  <c r="AU114" i="6"/>
  <c r="X114" i="6" s="1"/>
  <c r="AV114" i="6"/>
  <c r="AX114" i="6" s="1"/>
  <c r="AZ114" i="6" s="1"/>
  <c r="AT174" i="6"/>
  <c r="BG12" i="6"/>
  <c r="BI12" i="6" s="1"/>
  <c r="BK12" i="6" s="1"/>
  <c r="BM12" i="6" s="1"/>
  <c r="BO12" i="6" s="1"/>
  <c r="AT36" i="6"/>
  <c r="AU76" i="6"/>
  <c r="X76" i="6" s="1"/>
  <c r="AV76" i="6"/>
  <c r="AX76" i="6" s="1"/>
  <c r="AZ76" i="6" s="1"/>
  <c r="BG104" i="6"/>
  <c r="BI104" i="6" s="1"/>
  <c r="BK104" i="6" s="1"/>
  <c r="BM104" i="6" s="1"/>
  <c r="BO104" i="6" s="1"/>
  <c r="BG132" i="6"/>
  <c r="BI132" i="6" s="1"/>
  <c r="BK132" i="6" s="1"/>
  <c r="BM132" i="6" s="1"/>
  <c r="BO132" i="6" s="1"/>
  <c r="AU148" i="6"/>
  <c r="X148" i="6" s="1"/>
  <c r="AV148" i="6"/>
  <c r="AX148" i="6" s="1"/>
  <c r="AZ148" i="6" s="1"/>
  <c r="AU180" i="6"/>
  <c r="X180" i="6" s="1"/>
  <c r="AV180" i="6"/>
  <c r="AX180" i="6" s="1"/>
  <c r="AZ180" i="6" s="1"/>
  <c r="AT30" i="6"/>
  <c r="AT58" i="6"/>
  <c r="AU142" i="6"/>
  <c r="X142" i="6" s="1"/>
  <c r="AV142" i="6"/>
  <c r="AX142" i="6" s="1"/>
  <c r="AZ142" i="6" s="1"/>
  <c r="AU21" i="6"/>
  <c r="X21" i="6" s="1"/>
  <c r="AV21" i="6"/>
  <c r="AX21" i="6" s="1"/>
  <c r="AZ21" i="6" s="1"/>
  <c r="AU45" i="6"/>
  <c r="X45" i="6" s="1"/>
  <c r="AV45" i="6"/>
  <c r="AX45" i="6" s="1"/>
  <c r="AZ45" i="6" s="1"/>
  <c r="AU85" i="6"/>
  <c r="X85" i="6" s="1"/>
  <c r="AV85" i="6"/>
  <c r="AX85" i="6" s="1"/>
  <c r="AZ85" i="6" s="1"/>
  <c r="AU109" i="6"/>
  <c r="X109" i="6" s="1"/>
  <c r="AV109" i="6"/>
  <c r="AX109" i="6" s="1"/>
  <c r="AZ109" i="6" s="1"/>
  <c r="AT125" i="6"/>
  <c r="BG141" i="6"/>
  <c r="BI141" i="6" s="1"/>
  <c r="BK141" i="6" s="1"/>
  <c r="BM141" i="6" s="1"/>
  <c r="BO141" i="6" s="1"/>
  <c r="AT169" i="6"/>
  <c r="BG173" i="6"/>
  <c r="BI173" i="6" s="1"/>
  <c r="BK173" i="6" s="1"/>
  <c r="BM173" i="6" s="1"/>
  <c r="BO173" i="6" s="1"/>
  <c r="BG181" i="6"/>
  <c r="BI181" i="6" s="1"/>
  <c r="BK181" i="6" s="1"/>
  <c r="BM181" i="6" s="1"/>
  <c r="BO181" i="6" s="1"/>
  <c r="AU54" i="6"/>
  <c r="X54" i="6" s="1"/>
  <c r="AV54" i="6"/>
  <c r="AX54" i="6" s="1"/>
  <c r="AZ54" i="6" s="1"/>
  <c r="BG78" i="6"/>
  <c r="BI78" i="6" s="1"/>
  <c r="BK78" i="6" s="1"/>
  <c r="BM78" i="6" s="1"/>
  <c r="BO78" i="6" s="1"/>
  <c r="BH90" i="6"/>
  <c r="AC90" i="6" s="1"/>
  <c r="BI90" i="6"/>
  <c r="BK90" i="6" s="1"/>
  <c r="BM90" i="6" s="1"/>
  <c r="BO90" i="6" s="1"/>
  <c r="BG110" i="6"/>
  <c r="BI110" i="6" s="1"/>
  <c r="BK110" i="6" s="1"/>
  <c r="BM110" i="6" s="1"/>
  <c r="BO110" i="6" s="1"/>
  <c r="BG122" i="6"/>
  <c r="BI122" i="6" s="1"/>
  <c r="BK122" i="6" s="1"/>
  <c r="BM122" i="6" s="1"/>
  <c r="BO122" i="6" s="1"/>
  <c r="BG203" i="6"/>
  <c r="BI203" i="6" s="1"/>
  <c r="BK203" i="6" s="1"/>
  <c r="BM203" i="6" s="1"/>
  <c r="BG11" i="6"/>
  <c r="BI11" i="6" s="1"/>
  <c r="BK11" i="6" s="1"/>
  <c r="BM11" i="6" s="1"/>
  <c r="BO11" i="6" s="1"/>
  <c r="BG19" i="6"/>
  <c r="BI19" i="6" s="1"/>
  <c r="BK19" i="6" s="1"/>
  <c r="BM19" i="6" s="1"/>
  <c r="BO19" i="6" s="1"/>
  <c r="AU23" i="6"/>
  <c r="X23" i="6" s="1"/>
  <c r="AV23" i="6"/>
  <c r="AX23" i="6" s="1"/>
  <c r="AZ23" i="6" s="1"/>
  <c r="BG35" i="6"/>
  <c r="BI35" i="6" s="1"/>
  <c r="BK35" i="6" s="1"/>
  <c r="BM35" i="6" s="1"/>
  <c r="BO35" i="6" s="1"/>
  <c r="BG47" i="6"/>
  <c r="BI47" i="6" s="1"/>
  <c r="BK47" i="6" s="1"/>
  <c r="BM47" i="6" s="1"/>
  <c r="BO47" i="6" s="1"/>
  <c r="BH55" i="6"/>
  <c r="AC55" i="6" s="1"/>
  <c r="BI55" i="6"/>
  <c r="BK55" i="6" s="1"/>
  <c r="BM55" i="6" s="1"/>
  <c r="BO55" i="6" s="1"/>
  <c r="AU67" i="6"/>
  <c r="X67" i="6" s="1"/>
  <c r="AV67" i="6"/>
  <c r="AX67" i="6" s="1"/>
  <c r="AZ67" i="6" s="1"/>
  <c r="BG71" i="6"/>
  <c r="BI71" i="6" s="1"/>
  <c r="BK71" i="6" s="1"/>
  <c r="BM71" i="6" s="1"/>
  <c r="BO71" i="6" s="1"/>
  <c r="AU79" i="6"/>
  <c r="X79" i="6" s="1"/>
  <c r="AV79" i="6"/>
  <c r="AX79" i="6" s="1"/>
  <c r="AZ79" i="6" s="1"/>
  <c r="BG87" i="6"/>
  <c r="BI87" i="6" s="1"/>
  <c r="BK87" i="6" s="1"/>
  <c r="BM87" i="6" s="1"/>
  <c r="BO87" i="6" s="1"/>
  <c r="BG95" i="6"/>
  <c r="BI95" i="6" s="1"/>
  <c r="BK95" i="6" s="1"/>
  <c r="BM95" i="6" s="1"/>
  <c r="BO95" i="6" s="1"/>
  <c r="BG99" i="6"/>
  <c r="BI99" i="6" s="1"/>
  <c r="BK99" i="6" s="1"/>
  <c r="BM99" i="6" s="1"/>
  <c r="BO99" i="6" s="1"/>
  <c r="BG107" i="6"/>
  <c r="BI107" i="6" s="1"/>
  <c r="BK107" i="6" s="1"/>
  <c r="BM107" i="6" s="1"/>
  <c r="BO107" i="6" s="1"/>
  <c r="BG115" i="6"/>
  <c r="BI115" i="6" s="1"/>
  <c r="BK115" i="6" s="1"/>
  <c r="BM115" i="6" s="1"/>
  <c r="BO115" i="6" s="1"/>
  <c r="AU123" i="6"/>
  <c r="X123" i="6" s="1"/>
  <c r="AV123" i="6"/>
  <c r="AX123" i="6" s="1"/>
  <c r="AZ123" i="6" s="1"/>
  <c r="BG127" i="6"/>
  <c r="BI127" i="6" s="1"/>
  <c r="BK127" i="6" s="1"/>
  <c r="BM127" i="6" s="1"/>
  <c r="BO127" i="6" s="1"/>
  <c r="BH135" i="6"/>
  <c r="AC135" i="6" s="1"/>
  <c r="BI135" i="6"/>
  <c r="BK135" i="6" s="1"/>
  <c r="BM135" i="6" s="1"/>
  <c r="BO135" i="6" s="1"/>
  <c r="BG143" i="6"/>
  <c r="BI143" i="6" s="1"/>
  <c r="BK143" i="6" s="1"/>
  <c r="BM143" i="6" s="1"/>
  <c r="BO143" i="6" s="1"/>
  <c r="BG151" i="6"/>
  <c r="BI151" i="6" s="1"/>
  <c r="BK151" i="6" s="1"/>
  <c r="BM151" i="6" s="1"/>
  <c r="BO151" i="6" s="1"/>
  <c r="BG159" i="6"/>
  <c r="BI159" i="6" s="1"/>
  <c r="BK159" i="6" s="1"/>
  <c r="BM159" i="6" s="1"/>
  <c r="BO159" i="6" s="1"/>
  <c r="AU167" i="6"/>
  <c r="X167" i="6" s="1"/>
  <c r="AV167" i="6"/>
  <c r="AX167" i="6" s="1"/>
  <c r="AZ167" i="6" s="1"/>
  <c r="BG171" i="6"/>
  <c r="BI171" i="6" s="1"/>
  <c r="BK171" i="6" s="1"/>
  <c r="BM171" i="6" s="1"/>
  <c r="BO171" i="6" s="1"/>
  <c r="BG179" i="6"/>
  <c r="BI179" i="6" s="1"/>
  <c r="BK179" i="6" s="1"/>
  <c r="BM179" i="6" s="1"/>
  <c r="BO179" i="6" s="1"/>
  <c r="BG10" i="6"/>
  <c r="BI10" i="6" s="1"/>
  <c r="BK10" i="6" s="1"/>
  <c r="BM10" i="6" s="1"/>
  <c r="BO10" i="6" s="1"/>
  <c r="AU202" i="6"/>
  <c r="X202" i="6" s="1"/>
  <c r="AV202" i="6"/>
  <c r="BH74" i="6"/>
  <c r="AC74" i="6" s="1"/>
  <c r="BI74" i="6"/>
  <c r="BK74" i="6" s="1"/>
  <c r="BM74" i="6" s="1"/>
  <c r="BO74" i="6" s="1"/>
  <c r="AU98" i="6"/>
  <c r="X98" i="6" s="1"/>
  <c r="AV98" i="6"/>
  <c r="AX98" i="6" s="1"/>
  <c r="AZ98" i="6" s="1"/>
  <c r="BG114" i="6"/>
  <c r="BI114" i="6" s="1"/>
  <c r="BK114" i="6" s="1"/>
  <c r="BM114" i="6" s="1"/>
  <c r="BO114" i="6" s="1"/>
  <c r="AU138" i="6"/>
  <c r="X138" i="6" s="1"/>
  <c r="AV138" i="6"/>
  <c r="AX138" i="6" s="1"/>
  <c r="AZ138" i="6" s="1"/>
  <c r="AU162" i="6"/>
  <c r="X162" i="6" s="1"/>
  <c r="AV162" i="6"/>
  <c r="AX162" i="6" s="1"/>
  <c r="AZ162" i="6" s="1"/>
  <c r="AT204" i="6"/>
  <c r="AU208" i="6"/>
  <c r="X208" i="6" s="1"/>
  <c r="AV208" i="6"/>
  <c r="AT20" i="6"/>
  <c r="BG32" i="6"/>
  <c r="BI32" i="6" s="1"/>
  <c r="BK32" i="6" s="1"/>
  <c r="BM32" i="6" s="1"/>
  <c r="BO32" i="6" s="1"/>
  <c r="AU44" i="6"/>
  <c r="X44" i="6" s="1"/>
  <c r="AV44" i="6"/>
  <c r="AX44" i="6" s="1"/>
  <c r="AZ44" i="6" s="1"/>
  <c r="AU56" i="6"/>
  <c r="X56" i="6" s="1"/>
  <c r="AV56" i="6"/>
  <c r="AX56" i="6" s="1"/>
  <c r="AZ56" i="6" s="1"/>
  <c r="BG60" i="6"/>
  <c r="BI60" i="6" s="1"/>
  <c r="BK60" i="6" s="1"/>
  <c r="BM60" i="6" s="1"/>
  <c r="BO60" i="6" s="1"/>
  <c r="AU72" i="6"/>
  <c r="X72" i="6" s="1"/>
  <c r="AV72" i="6"/>
  <c r="AX72" i="6" s="1"/>
  <c r="AZ72" i="6" s="1"/>
  <c r="BG76" i="6"/>
  <c r="BI76" i="6" s="1"/>
  <c r="BK76" i="6" s="1"/>
  <c r="BM76" i="6" s="1"/>
  <c r="BO76" i="6" s="1"/>
  <c r="BH88" i="6"/>
  <c r="AC88" i="6" s="1"/>
  <c r="BI88" i="6"/>
  <c r="BK88" i="6" s="1"/>
  <c r="BM88" i="6" s="1"/>
  <c r="BO88" i="6" s="1"/>
  <c r="AU92" i="6"/>
  <c r="X92" i="6" s="1"/>
  <c r="AV92" i="6"/>
  <c r="AX92" i="6" s="1"/>
  <c r="AZ92" i="6" s="1"/>
  <c r="AT104" i="6"/>
  <c r="BH112" i="6"/>
  <c r="AC112" i="6" s="1"/>
  <c r="BI112" i="6"/>
  <c r="BK112" i="6" s="1"/>
  <c r="BM112" i="6" s="1"/>
  <c r="BO112" i="6" s="1"/>
  <c r="AU116" i="6"/>
  <c r="X116" i="6" s="1"/>
  <c r="AV116" i="6"/>
  <c r="AX116" i="6" s="1"/>
  <c r="AZ116" i="6" s="1"/>
  <c r="BH124" i="6"/>
  <c r="AC124" i="6" s="1"/>
  <c r="BI124" i="6"/>
  <c r="BK124" i="6" s="1"/>
  <c r="BM124" i="6" s="1"/>
  <c r="BO124" i="6" s="1"/>
  <c r="AU132" i="6"/>
  <c r="X132" i="6" s="1"/>
  <c r="AV132" i="6"/>
  <c r="AX132" i="6" s="1"/>
  <c r="AZ132" i="6" s="1"/>
  <c r="AU140" i="6"/>
  <c r="X140" i="6" s="1"/>
  <c r="AV140" i="6"/>
  <c r="AX140" i="6" s="1"/>
  <c r="AZ140" i="6" s="1"/>
  <c r="BH144" i="6"/>
  <c r="AC144" i="6" s="1"/>
  <c r="BI144" i="6"/>
  <c r="BK144" i="6" s="1"/>
  <c r="BM144" i="6" s="1"/>
  <c r="BO144" i="6" s="1"/>
  <c r="AU156" i="6"/>
  <c r="X156" i="6" s="1"/>
  <c r="AV156" i="6"/>
  <c r="AX156" i="6" s="1"/>
  <c r="AZ156" i="6" s="1"/>
  <c r="BG160" i="6"/>
  <c r="BI160" i="6" s="1"/>
  <c r="BK160" i="6" s="1"/>
  <c r="BM160" i="6" s="1"/>
  <c r="BO160" i="6" s="1"/>
  <c r="BG168" i="6"/>
  <c r="BI168" i="6" s="1"/>
  <c r="BK168" i="6" s="1"/>
  <c r="BM168" i="6" s="1"/>
  <c r="BO168" i="6" s="1"/>
  <c r="AU176" i="6"/>
  <c r="X176" i="6" s="1"/>
  <c r="AV176" i="6"/>
  <c r="AX176" i="6" s="1"/>
  <c r="AZ176" i="6" s="1"/>
  <c r="BG14" i="6"/>
  <c r="BI14" i="6" s="1"/>
  <c r="BK14" i="6" s="1"/>
  <c r="BM14" i="6" s="1"/>
  <c r="BO14" i="6" s="1"/>
  <c r="BH18" i="6"/>
  <c r="AC18" i="6" s="1"/>
  <c r="BI18" i="6"/>
  <c r="BK18" i="6" s="1"/>
  <c r="BM18" i="6" s="1"/>
  <c r="BO18" i="6" s="1"/>
  <c r="AU26" i="6"/>
  <c r="X26" i="6" s="1"/>
  <c r="AV26" i="6"/>
  <c r="AX26" i="6" s="1"/>
  <c r="AZ26" i="6" s="1"/>
  <c r="BG38" i="6"/>
  <c r="BI38" i="6" s="1"/>
  <c r="BK38" i="6" s="1"/>
  <c r="BM38" i="6" s="1"/>
  <c r="BO38" i="6" s="1"/>
  <c r="BG58" i="6"/>
  <c r="BI58" i="6" s="1"/>
  <c r="BK58" i="6" s="1"/>
  <c r="BM58" i="6" s="1"/>
  <c r="BO58" i="6" s="1"/>
  <c r="BH94" i="6"/>
  <c r="AC94" i="6" s="1"/>
  <c r="BI94" i="6"/>
  <c r="BK94" i="6" s="1"/>
  <c r="BM94" i="6" s="1"/>
  <c r="BO94" i="6" s="1"/>
  <c r="BH106" i="6"/>
  <c r="AC106" i="6" s="1"/>
  <c r="BI106" i="6"/>
  <c r="BK106" i="6" s="1"/>
  <c r="BM106" i="6" s="1"/>
  <c r="BO106" i="6" s="1"/>
  <c r="AU130" i="6"/>
  <c r="X130" i="6" s="1"/>
  <c r="AV130" i="6"/>
  <c r="AX130" i="6" s="1"/>
  <c r="AZ130" i="6" s="1"/>
  <c r="AU154" i="6"/>
  <c r="X154" i="6" s="1"/>
  <c r="AV154" i="6"/>
  <c r="AX154" i="6" s="1"/>
  <c r="AZ154" i="6" s="1"/>
  <c r="AU182" i="6"/>
  <c r="X182" i="6" s="1"/>
  <c r="AV182" i="6"/>
  <c r="AX182" i="6" s="1"/>
  <c r="AZ182" i="6" s="1"/>
  <c r="AU13" i="6"/>
  <c r="X13" i="6" s="1"/>
  <c r="AV13" i="6"/>
  <c r="AX13" i="6" s="1"/>
  <c r="AZ13" i="6" s="1"/>
  <c r="BG17" i="6"/>
  <c r="BI17" i="6" s="1"/>
  <c r="BK17" i="6" s="1"/>
  <c r="BM17" i="6" s="1"/>
  <c r="BO17" i="6" s="1"/>
  <c r="BG25" i="6"/>
  <c r="BI25" i="6" s="1"/>
  <c r="BK25" i="6" s="1"/>
  <c r="BM25" i="6" s="1"/>
  <c r="BO25" i="6" s="1"/>
  <c r="AU29" i="6"/>
  <c r="X29" i="6" s="1"/>
  <c r="AV29" i="6"/>
  <c r="AX29" i="6" s="1"/>
  <c r="AZ29" i="6" s="1"/>
  <c r="AU41" i="6"/>
  <c r="X41" i="6" s="1"/>
  <c r="AV41" i="6"/>
  <c r="AX41" i="6" s="1"/>
  <c r="AZ41" i="6" s="1"/>
  <c r="BG45" i="6"/>
  <c r="BI45" i="6" s="1"/>
  <c r="BK45" i="6" s="1"/>
  <c r="BM45" i="6" s="1"/>
  <c r="BO45" i="6" s="1"/>
  <c r="AU53" i="6"/>
  <c r="X53" i="6" s="1"/>
  <c r="AV53" i="6"/>
  <c r="AX53" i="6" s="1"/>
  <c r="AZ53" i="6" s="1"/>
  <c r="BG57" i="6"/>
  <c r="BI57" i="6" s="1"/>
  <c r="BK57" i="6" s="1"/>
  <c r="BM57" i="6" s="1"/>
  <c r="BO57" i="6" s="1"/>
  <c r="AU65" i="6"/>
  <c r="X65" i="6" s="1"/>
  <c r="AV65" i="6"/>
  <c r="AX65" i="6" s="1"/>
  <c r="AZ65" i="6" s="1"/>
  <c r="AU69" i="6"/>
  <c r="X69" i="6" s="1"/>
  <c r="AV69" i="6"/>
  <c r="AX69" i="6" s="1"/>
  <c r="AZ69" i="6" s="1"/>
  <c r="AT81" i="6"/>
  <c r="BG85" i="6"/>
  <c r="BI85" i="6" s="1"/>
  <c r="BK85" i="6" s="1"/>
  <c r="BM85" i="6" s="1"/>
  <c r="BO85" i="6" s="1"/>
  <c r="AU93" i="6"/>
  <c r="X93" i="6" s="1"/>
  <c r="AV93" i="6"/>
  <c r="AX93" i="6" s="1"/>
  <c r="AZ93" i="6" s="1"/>
  <c r="BG97" i="6"/>
  <c r="BI97" i="6" s="1"/>
  <c r="BK97" i="6" s="1"/>
  <c r="BM97" i="6" s="1"/>
  <c r="BO97" i="6" s="1"/>
  <c r="AU105" i="6"/>
  <c r="X105" i="6" s="1"/>
  <c r="AV105" i="6"/>
  <c r="AX105" i="6" s="1"/>
  <c r="AZ105" i="6" s="1"/>
  <c r="BG109" i="6"/>
  <c r="BI109" i="6" s="1"/>
  <c r="BK109" i="6" s="1"/>
  <c r="BM109" i="6" s="1"/>
  <c r="BO109" i="6" s="1"/>
  <c r="BG121" i="6"/>
  <c r="BI121" i="6" s="1"/>
  <c r="BK121" i="6" s="1"/>
  <c r="BM121" i="6" s="1"/>
  <c r="BO121" i="6" s="1"/>
  <c r="AT129" i="6"/>
  <c r="AT137" i="6"/>
  <c r="AT141" i="6"/>
  <c r="BG149" i="6"/>
  <c r="BI149" i="6" s="1"/>
  <c r="BK149" i="6" s="1"/>
  <c r="BM149" i="6" s="1"/>
  <c r="BO149" i="6" s="1"/>
  <c r="AU157" i="6"/>
  <c r="X157" i="6" s="1"/>
  <c r="AV157" i="6"/>
  <c r="AX157" i="6" s="1"/>
  <c r="AZ157" i="6" s="1"/>
  <c r="BG169" i="6"/>
  <c r="BI169" i="6" s="1"/>
  <c r="BK169" i="6" s="1"/>
  <c r="BM169" i="6" s="1"/>
  <c r="BO169" i="6" s="1"/>
  <c r="AU177" i="6"/>
  <c r="X177" i="6" s="1"/>
  <c r="AV177" i="6"/>
  <c r="AX177" i="6" s="1"/>
  <c r="AZ177" i="6" s="1"/>
  <c r="AU181" i="6"/>
  <c r="X181" i="6" s="1"/>
  <c r="AV181" i="6"/>
  <c r="AX181" i="6" s="1"/>
  <c r="AZ181" i="6" s="1"/>
  <c r="BG54" i="6"/>
  <c r="BI54" i="6" s="1"/>
  <c r="BK54" i="6" s="1"/>
  <c r="BM54" i="6" s="1"/>
  <c r="BO54" i="6" s="1"/>
  <c r="AT78" i="6"/>
  <c r="AU102" i="6"/>
  <c r="X102" i="6" s="1"/>
  <c r="AV102" i="6"/>
  <c r="AX102" i="6" s="1"/>
  <c r="AZ102" i="6" s="1"/>
  <c r="AT110" i="6"/>
  <c r="AU134" i="6"/>
  <c r="X134" i="6" s="1"/>
  <c r="AV134" i="6"/>
  <c r="AX134" i="6" s="1"/>
  <c r="AZ134" i="6" s="1"/>
  <c r="BG146" i="6"/>
  <c r="BI146" i="6" s="1"/>
  <c r="BK146" i="6" s="1"/>
  <c r="BM146" i="6" s="1"/>
  <c r="BO146" i="6" s="1"/>
  <c r="BG170" i="6"/>
  <c r="BI170" i="6" s="1"/>
  <c r="BK170" i="6" s="1"/>
  <c r="BM170" i="6" s="1"/>
  <c r="BO170" i="6" s="1"/>
  <c r="AU35" i="6"/>
  <c r="X35" i="6" s="1"/>
  <c r="AV35" i="6"/>
  <c r="AX35" i="6" s="1"/>
  <c r="AZ35" i="6" s="1"/>
  <c r="AU59" i="6"/>
  <c r="X59" i="6" s="1"/>
  <c r="AV59" i="6"/>
  <c r="AX59" i="6" s="1"/>
  <c r="AZ59" i="6" s="1"/>
  <c r="AU91" i="6"/>
  <c r="X91" i="6" s="1"/>
  <c r="AV91" i="6"/>
  <c r="AX91" i="6" s="1"/>
  <c r="AZ91" i="6" s="1"/>
  <c r="AU111" i="6"/>
  <c r="X111" i="6" s="1"/>
  <c r="AV111" i="6"/>
  <c r="AX111" i="6" s="1"/>
  <c r="AZ111" i="6" s="1"/>
  <c r="BG119" i="6"/>
  <c r="BI119" i="6" s="1"/>
  <c r="BK119" i="6" s="1"/>
  <c r="BM119" i="6" s="1"/>
  <c r="BO119" i="6" s="1"/>
  <c r="AU143" i="6"/>
  <c r="X143" i="6" s="1"/>
  <c r="AV143" i="6"/>
  <c r="AX143" i="6" s="1"/>
  <c r="AZ143" i="6" s="1"/>
  <c r="AU171" i="6"/>
  <c r="X171" i="6" s="1"/>
  <c r="AV171" i="6"/>
  <c r="AX171" i="6" s="1"/>
  <c r="AZ171" i="6" s="1"/>
  <c r="AU74" i="6"/>
  <c r="X74" i="6" s="1"/>
  <c r="AV74" i="6"/>
  <c r="AX74" i="6" s="1"/>
  <c r="AZ74" i="6" s="1"/>
  <c r="BG204" i="6"/>
  <c r="BI204" i="6" s="1"/>
  <c r="BK204" i="6" s="1"/>
  <c r="BM204" i="6" s="1"/>
  <c r="AU24" i="6"/>
  <c r="X24" i="6" s="1"/>
  <c r="AV24" i="6"/>
  <c r="AX24" i="6" s="1"/>
  <c r="AZ24" i="6" s="1"/>
  <c r="AU48" i="6"/>
  <c r="X48" i="6" s="1"/>
  <c r="AV48" i="6"/>
  <c r="AX48" i="6" s="1"/>
  <c r="AZ48" i="6" s="1"/>
  <c r="BG64" i="6"/>
  <c r="BI64" i="6" s="1"/>
  <c r="BK64" i="6" s="1"/>
  <c r="BM64" i="6" s="1"/>
  <c r="BO64" i="6" s="1"/>
  <c r="BG80" i="6"/>
  <c r="BI80" i="6" s="1"/>
  <c r="BK80" i="6" s="1"/>
  <c r="BM80" i="6" s="1"/>
  <c r="BO80" i="6" s="1"/>
  <c r="BG92" i="6"/>
  <c r="BI92" i="6" s="1"/>
  <c r="BK92" i="6" s="1"/>
  <c r="BM92" i="6" s="1"/>
  <c r="BO92" i="6" s="1"/>
  <c r="AU124" i="6"/>
  <c r="X124" i="6" s="1"/>
  <c r="AV124" i="6"/>
  <c r="AX124" i="6" s="1"/>
  <c r="AZ124" i="6" s="1"/>
  <c r="AU160" i="6"/>
  <c r="X160" i="6" s="1"/>
  <c r="AV160" i="6"/>
  <c r="AX160" i="6" s="1"/>
  <c r="AZ160" i="6" s="1"/>
  <c r="AU18" i="6"/>
  <c r="X18" i="6" s="1"/>
  <c r="AV18" i="6"/>
  <c r="AX18" i="6" s="1"/>
  <c r="AZ18" i="6" s="1"/>
  <c r="BG42" i="6"/>
  <c r="BI42" i="6" s="1"/>
  <c r="BK42" i="6" s="1"/>
  <c r="BM42" i="6" s="1"/>
  <c r="BO42" i="6" s="1"/>
  <c r="AU106" i="6"/>
  <c r="X106" i="6" s="1"/>
  <c r="AV106" i="6"/>
  <c r="AX106" i="6" s="1"/>
  <c r="AZ106" i="6" s="1"/>
  <c r="BG166" i="6"/>
  <c r="BI166" i="6" s="1"/>
  <c r="BK166" i="6" s="1"/>
  <c r="BM166" i="6" s="1"/>
  <c r="BO166" i="6" s="1"/>
  <c r="BG209" i="6"/>
  <c r="BI209" i="6" s="1"/>
  <c r="BK209" i="6" s="1"/>
  <c r="BM209" i="6" s="1"/>
  <c r="BG29" i="6"/>
  <c r="BI29" i="6" s="1"/>
  <c r="BK29" i="6" s="1"/>
  <c r="BM29" i="6" s="1"/>
  <c r="BO29" i="6" s="1"/>
  <c r="BG73" i="6"/>
  <c r="BI73" i="6" s="1"/>
  <c r="BK73" i="6" s="1"/>
  <c r="BM73" i="6" s="1"/>
  <c r="BO73" i="6" s="1"/>
  <c r="AU97" i="6"/>
  <c r="X97" i="6" s="1"/>
  <c r="AV97" i="6"/>
  <c r="AX97" i="6" s="1"/>
  <c r="AZ97" i="6" s="1"/>
  <c r="AU121" i="6"/>
  <c r="X121" i="6" s="1"/>
  <c r="AV121" i="6"/>
  <c r="AX121" i="6" s="1"/>
  <c r="AZ121" i="6" s="1"/>
  <c r="AU153" i="6"/>
  <c r="X153" i="6" s="1"/>
  <c r="AV153" i="6"/>
  <c r="AX153" i="6" s="1"/>
  <c r="AZ153" i="6" s="1"/>
  <c r="AU170" i="6"/>
  <c r="X170" i="6" s="1"/>
  <c r="AV170" i="6"/>
  <c r="AX170" i="6" s="1"/>
  <c r="AZ170" i="6" s="1"/>
  <c r="AU203" i="6"/>
  <c r="X203" i="6" s="1"/>
  <c r="AV203" i="6"/>
  <c r="AE203" i="6" s="1"/>
  <c r="AT207" i="6"/>
  <c r="BH15" i="6"/>
  <c r="AC15" i="6" s="1"/>
  <c r="BI15" i="6"/>
  <c r="BK15" i="6" s="1"/>
  <c r="BM15" i="6" s="1"/>
  <c r="BO15" i="6" s="1"/>
  <c r="AT19" i="6"/>
  <c r="BG31" i="6"/>
  <c r="BI31" i="6" s="1"/>
  <c r="BK31" i="6" s="1"/>
  <c r="BM31" i="6" s="1"/>
  <c r="BO31" i="6" s="1"/>
  <c r="AT43" i="6"/>
  <c r="AU55" i="6"/>
  <c r="X55" i="6" s="1"/>
  <c r="AV55" i="6"/>
  <c r="AX55" i="6" s="1"/>
  <c r="AZ55" i="6" s="1"/>
  <c r="AU63" i="6"/>
  <c r="X63" i="6" s="1"/>
  <c r="AV63" i="6"/>
  <c r="AX63" i="6" s="1"/>
  <c r="AZ63" i="6" s="1"/>
  <c r="BG67" i="6"/>
  <c r="BI67" i="6" s="1"/>
  <c r="BK67" i="6" s="1"/>
  <c r="BM67" i="6" s="1"/>
  <c r="BO67" i="6" s="1"/>
  <c r="AU75" i="6"/>
  <c r="X75" i="6" s="1"/>
  <c r="AV75" i="6"/>
  <c r="AX75" i="6" s="1"/>
  <c r="AZ75" i="6" s="1"/>
  <c r="BG79" i="6"/>
  <c r="BI79" i="6" s="1"/>
  <c r="BK79" i="6" s="1"/>
  <c r="BM79" i="6" s="1"/>
  <c r="BO79" i="6" s="1"/>
  <c r="AU87" i="6"/>
  <c r="X87" i="6" s="1"/>
  <c r="AV87" i="6"/>
  <c r="AX87" i="6" s="1"/>
  <c r="AZ87" i="6" s="1"/>
  <c r="AU95" i="6"/>
  <c r="X95" i="6" s="1"/>
  <c r="AV95" i="6"/>
  <c r="AX95" i="6" s="1"/>
  <c r="AZ95" i="6" s="1"/>
  <c r="AU107" i="6"/>
  <c r="X107" i="6" s="1"/>
  <c r="AV107" i="6"/>
  <c r="AX107" i="6" s="1"/>
  <c r="AZ107" i="6" s="1"/>
  <c r="AU115" i="6"/>
  <c r="X115" i="6" s="1"/>
  <c r="AV115" i="6"/>
  <c r="AX115" i="6" s="1"/>
  <c r="AZ115" i="6" s="1"/>
  <c r="BG123" i="6"/>
  <c r="BI123" i="6" s="1"/>
  <c r="BK123" i="6" s="1"/>
  <c r="BM123" i="6" s="1"/>
  <c r="BO123" i="6" s="1"/>
  <c r="BG131" i="6"/>
  <c r="BI131" i="6" s="1"/>
  <c r="BK131" i="6" s="1"/>
  <c r="BM131" i="6" s="1"/>
  <c r="BO131" i="6" s="1"/>
  <c r="AU139" i="6"/>
  <c r="X139" i="6" s="1"/>
  <c r="AV139" i="6"/>
  <c r="AX139" i="6" s="1"/>
  <c r="AZ139" i="6" s="1"/>
  <c r="BG147" i="6"/>
  <c r="BI147" i="6" s="1"/>
  <c r="BK147" i="6" s="1"/>
  <c r="BM147" i="6" s="1"/>
  <c r="BO147" i="6" s="1"/>
  <c r="AU155" i="6"/>
  <c r="X155" i="6" s="1"/>
  <c r="AV155" i="6"/>
  <c r="AX155" i="6" s="1"/>
  <c r="AZ155" i="6" s="1"/>
  <c r="BG163" i="6"/>
  <c r="BI163" i="6" s="1"/>
  <c r="BK163" i="6" s="1"/>
  <c r="BM163" i="6" s="1"/>
  <c r="BO163" i="6" s="1"/>
  <c r="BG167" i="6"/>
  <c r="BI167" i="6" s="1"/>
  <c r="BK167" i="6" s="1"/>
  <c r="BM167" i="6" s="1"/>
  <c r="BO167" i="6" s="1"/>
  <c r="AU179" i="6"/>
  <c r="X179" i="6" s="1"/>
  <c r="AV179" i="6"/>
  <c r="AX179" i="6" s="1"/>
  <c r="AZ179" i="6" s="1"/>
  <c r="BG202" i="6"/>
  <c r="BI202" i="6" s="1"/>
  <c r="BK202" i="6" s="1"/>
  <c r="BM202" i="6" s="1"/>
  <c r="BG62" i="6"/>
  <c r="BI62" i="6" s="1"/>
  <c r="BK62" i="6" s="1"/>
  <c r="BM62" i="6" s="1"/>
  <c r="BO62" i="6" s="1"/>
  <c r="AU86" i="6"/>
  <c r="X86" i="6" s="1"/>
  <c r="AV86" i="6"/>
  <c r="AX86" i="6" s="1"/>
  <c r="AZ86" i="6" s="1"/>
  <c r="BH98" i="6"/>
  <c r="AC98" i="6" s="1"/>
  <c r="BI98" i="6"/>
  <c r="BK98" i="6" s="1"/>
  <c r="BM98" i="6" s="1"/>
  <c r="BO98" i="6" s="1"/>
  <c r="BH126" i="6"/>
  <c r="AC126" i="6" s="1"/>
  <c r="BI126" i="6"/>
  <c r="BK126" i="6" s="1"/>
  <c r="BM126" i="6" s="1"/>
  <c r="BO126" i="6" s="1"/>
  <c r="BH138" i="6"/>
  <c r="AC138" i="6" s="1"/>
  <c r="BI138" i="6"/>
  <c r="BK138" i="6" s="1"/>
  <c r="BM138" i="6" s="1"/>
  <c r="BO138" i="6" s="1"/>
  <c r="BG162" i="6"/>
  <c r="BI162" i="6" s="1"/>
  <c r="BK162" i="6" s="1"/>
  <c r="BM162" i="6" s="1"/>
  <c r="BO162" i="6" s="1"/>
  <c r="BG208" i="6"/>
  <c r="BI208" i="6" s="1"/>
  <c r="BK208" i="6" s="1"/>
  <c r="BM208" i="6" s="1"/>
  <c r="AT16" i="6"/>
  <c r="BG20" i="6"/>
  <c r="BI20" i="6" s="1"/>
  <c r="BK20" i="6" s="1"/>
  <c r="BM20" i="6" s="1"/>
  <c r="BO20" i="6" s="1"/>
  <c r="AU28" i="6"/>
  <c r="X28" i="6" s="1"/>
  <c r="AV28" i="6"/>
  <c r="AX28" i="6" s="1"/>
  <c r="AZ28" i="6" s="1"/>
  <c r="AU40" i="6"/>
  <c r="X40" i="6" s="1"/>
  <c r="AV40" i="6"/>
  <c r="AX40" i="6" s="1"/>
  <c r="AZ40" i="6" s="1"/>
  <c r="BH44" i="6"/>
  <c r="AC44" i="6" s="1"/>
  <c r="BI44" i="6"/>
  <c r="BK44" i="6" s="1"/>
  <c r="BM44" i="6" s="1"/>
  <c r="BO44" i="6" s="1"/>
  <c r="BH52" i="6"/>
  <c r="AC52" i="6" s="1"/>
  <c r="BI52" i="6"/>
  <c r="BK52" i="6" s="1"/>
  <c r="BM52" i="6" s="1"/>
  <c r="BO52" i="6" s="1"/>
  <c r="BG56" i="6"/>
  <c r="BI56" i="6" s="1"/>
  <c r="BK56" i="6" s="1"/>
  <c r="BM56" i="6" s="1"/>
  <c r="BO56" i="6" s="1"/>
  <c r="BG68" i="6"/>
  <c r="BI68" i="6" s="1"/>
  <c r="BK68" i="6" s="1"/>
  <c r="BM68" i="6" s="1"/>
  <c r="BO68" i="6" s="1"/>
  <c r="BG72" i="6"/>
  <c r="BI72" i="6" s="1"/>
  <c r="BK72" i="6" s="1"/>
  <c r="BM72" i="6" s="1"/>
  <c r="BO72" i="6" s="1"/>
  <c r="AU84" i="6"/>
  <c r="X84" i="6" s="1"/>
  <c r="AV84" i="6"/>
  <c r="AX84" i="6" s="1"/>
  <c r="AZ84" i="6" s="1"/>
  <c r="AU88" i="6"/>
  <c r="X88" i="6" s="1"/>
  <c r="AV88" i="6"/>
  <c r="AX88" i="6" s="1"/>
  <c r="AZ88" i="6" s="1"/>
  <c r="AU100" i="6"/>
  <c r="X100" i="6" s="1"/>
  <c r="AV100" i="6"/>
  <c r="AX100" i="6" s="1"/>
  <c r="AZ100" i="6" s="1"/>
  <c r="BG108" i="6"/>
  <c r="BI108" i="6" s="1"/>
  <c r="BK108" i="6" s="1"/>
  <c r="BM108" i="6" s="1"/>
  <c r="BO108" i="6" s="1"/>
  <c r="AT112" i="6"/>
  <c r="AT120" i="6"/>
  <c r="AT128" i="6"/>
  <c r="AT136" i="6"/>
  <c r="BH140" i="6"/>
  <c r="AC140" i="6" s="1"/>
  <c r="BI140" i="6"/>
  <c r="BK140" i="6" s="1"/>
  <c r="BM140" i="6" s="1"/>
  <c r="BO140" i="6" s="1"/>
  <c r="AT152" i="6"/>
  <c r="BH156" i="6"/>
  <c r="AC156" i="6" s="1"/>
  <c r="BI156" i="6"/>
  <c r="BK156" i="6" s="1"/>
  <c r="BM156" i="6" s="1"/>
  <c r="BO156" i="6" s="1"/>
  <c r="BG164" i="6"/>
  <c r="BI164" i="6" s="1"/>
  <c r="BK164" i="6" s="1"/>
  <c r="BM164" i="6" s="1"/>
  <c r="BO164" i="6" s="1"/>
  <c r="BG176" i="6"/>
  <c r="BI176" i="6" s="1"/>
  <c r="BK176" i="6" s="1"/>
  <c r="BM176" i="6" s="1"/>
  <c r="BO176" i="6" s="1"/>
  <c r="AT14" i="6"/>
  <c r="AT22" i="6"/>
  <c r="BH26" i="6"/>
  <c r="AC26" i="6" s="1"/>
  <c r="BI26" i="6"/>
  <c r="BK26" i="6" s="1"/>
  <c r="BM26" i="6" s="1"/>
  <c r="BO26" i="6" s="1"/>
  <c r="AT34" i="6"/>
  <c r="AU50" i="6"/>
  <c r="X50" i="6" s="1"/>
  <c r="AV50" i="6"/>
  <c r="AX50" i="6" s="1"/>
  <c r="AZ50" i="6" s="1"/>
  <c r="AU82" i="6"/>
  <c r="X82" i="6" s="1"/>
  <c r="AV82" i="6"/>
  <c r="AX82" i="6" s="1"/>
  <c r="AZ82" i="6" s="1"/>
  <c r="AU94" i="6"/>
  <c r="X94" i="6" s="1"/>
  <c r="AV94" i="6"/>
  <c r="AX94" i="6" s="1"/>
  <c r="AZ94" i="6" s="1"/>
  <c r="AU118" i="6"/>
  <c r="X118" i="6" s="1"/>
  <c r="AV118" i="6"/>
  <c r="AX118" i="6" s="1"/>
  <c r="AZ118" i="6" s="1"/>
  <c r="BG130" i="6"/>
  <c r="BI130" i="6" s="1"/>
  <c r="BK130" i="6" s="1"/>
  <c r="BM130" i="6" s="1"/>
  <c r="BO130" i="6" s="1"/>
  <c r="BG154" i="6"/>
  <c r="BI154" i="6" s="1"/>
  <c r="BK154" i="6" s="1"/>
  <c r="BM154" i="6" s="1"/>
  <c r="BO154" i="6" s="1"/>
  <c r="BG182" i="6"/>
  <c r="BI182" i="6" s="1"/>
  <c r="BK182" i="6" s="1"/>
  <c r="BM182" i="6" s="1"/>
  <c r="BO182" i="6" s="1"/>
  <c r="AU205" i="6"/>
  <c r="X205" i="6" s="1"/>
  <c r="AV205" i="6"/>
  <c r="BG13" i="6"/>
  <c r="BI13" i="6" s="1"/>
  <c r="BK13" i="6" s="1"/>
  <c r="BM13" i="6" s="1"/>
  <c r="BO13" i="6" s="1"/>
  <c r="AU25" i="6"/>
  <c r="X25" i="6" s="1"/>
  <c r="AV25" i="6"/>
  <c r="AX25" i="6" s="1"/>
  <c r="AZ25" i="6" s="1"/>
  <c r="AU37" i="6"/>
  <c r="X37" i="6" s="1"/>
  <c r="AV37" i="6"/>
  <c r="AX37" i="6" s="1"/>
  <c r="AZ37" i="6" s="1"/>
  <c r="BG41" i="6"/>
  <c r="BI41" i="6" s="1"/>
  <c r="BK41" i="6" s="1"/>
  <c r="BM41" i="6" s="1"/>
  <c r="BO41" i="6" s="1"/>
  <c r="AU49" i="6"/>
  <c r="X49" i="6" s="1"/>
  <c r="AV49" i="6"/>
  <c r="AX49" i="6" s="1"/>
  <c r="AZ49" i="6" s="1"/>
  <c r="BG53" i="6"/>
  <c r="BI53" i="6" s="1"/>
  <c r="BK53" i="6" s="1"/>
  <c r="BM53" i="6" s="1"/>
  <c r="BO53" i="6" s="1"/>
  <c r="AU61" i="6"/>
  <c r="X61" i="6" s="1"/>
  <c r="AV61" i="6"/>
  <c r="AX61" i="6" s="1"/>
  <c r="AZ61" i="6" s="1"/>
  <c r="BG65" i="6"/>
  <c r="BI65" i="6" s="1"/>
  <c r="BK65" i="6" s="1"/>
  <c r="BM65" i="6" s="1"/>
  <c r="BO65" i="6" s="1"/>
  <c r="AU77" i="6"/>
  <c r="X77" i="6" s="1"/>
  <c r="AV77" i="6"/>
  <c r="AX77" i="6" s="1"/>
  <c r="AZ77" i="6" s="1"/>
  <c r="BG81" i="6"/>
  <c r="BI81" i="6" s="1"/>
  <c r="BK81" i="6" s="1"/>
  <c r="BM81" i="6" s="1"/>
  <c r="BO81" i="6" s="1"/>
  <c r="BG93" i="6"/>
  <c r="BI93" i="6" s="1"/>
  <c r="BK93" i="6" s="1"/>
  <c r="BM93" i="6" s="1"/>
  <c r="BO93" i="6" s="1"/>
  <c r="BG101" i="6"/>
  <c r="BI101" i="6" s="1"/>
  <c r="BK101" i="6" s="1"/>
  <c r="BM101" i="6" s="1"/>
  <c r="BO101" i="6" s="1"/>
  <c r="BG105" i="6"/>
  <c r="BI105" i="6" s="1"/>
  <c r="BK105" i="6" s="1"/>
  <c r="BM105" i="6" s="1"/>
  <c r="BO105" i="6" s="1"/>
  <c r="AU117" i="6"/>
  <c r="X117" i="6" s="1"/>
  <c r="AV117" i="6"/>
  <c r="AX117" i="6" s="1"/>
  <c r="AZ117" i="6" s="1"/>
  <c r="BG129" i="6"/>
  <c r="BI129" i="6" s="1"/>
  <c r="BK129" i="6" s="1"/>
  <c r="BM129" i="6" s="1"/>
  <c r="BO129" i="6" s="1"/>
  <c r="BG137" i="6"/>
  <c r="BI137" i="6" s="1"/>
  <c r="BK137" i="6" s="1"/>
  <c r="BM137" i="6" s="1"/>
  <c r="BO137" i="6" s="1"/>
  <c r="AT145" i="6"/>
  <c r="AU149" i="6"/>
  <c r="X149" i="6" s="1"/>
  <c r="AV149" i="6"/>
  <c r="AX149" i="6" s="1"/>
  <c r="AZ149" i="6" s="1"/>
  <c r="BG157" i="6"/>
  <c r="BI157" i="6" s="1"/>
  <c r="BK157" i="6" s="1"/>
  <c r="BM157" i="6" s="1"/>
  <c r="BO157" i="6" s="1"/>
  <c r="AU165" i="6"/>
  <c r="X165" i="6" s="1"/>
  <c r="AV165" i="6"/>
  <c r="AX165" i="6" s="1"/>
  <c r="AZ165" i="6" s="1"/>
  <c r="BG177" i="6"/>
  <c r="BI177" i="6" s="1"/>
  <c r="BK177" i="6" s="1"/>
  <c r="BM177" i="6" s="1"/>
  <c r="BO177" i="6" s="1"/>
  <c r="BG206" i="6"/>
  <c r="BI206" i="6" s="1"/>
  <c r="BK206" i="6" s="1"/>
  <c r="BM206" i="6" s="1"/>
  <c r="AU66" i="6"/>
  <c r="X66" i="6" s="1"/>
  <c r="AV66" i="6"/>
  <c r="AX66" i="6" s="1"/>
  <c r="AZ66" i="6" s="1"/>
  <c r="BG102" i="6"/>
  <c r="BI102" i="6" s="1"/>
  <c r="BK102" i="6" s="1"/>
  <c r="BM102" i="6" s="1"/>
  <c r="BO102" i="6" s="1"/>
  <c r="BG134" i="6"/>
  <c r="BI134" i="6" s="1"/>
  <c r="BK134" i="6" s="1"/>
  <c r="BM134" i="6" s="1"/>
  <c r="BO134" i="6" s="1"/>
  <c r="BG158" i="6"/>
  <c r="BI158" i="6" s="1"/>
  <c r="BK158" i="6" s="1"/>
  <c r="BM158" i="6" s="1"/>
  <c r="BO158" i="6" s="1"/>
  <c r="AU178" i="6"/>
  <c r="X178" i="6" s="1"/>
  <c r="AV178" i="6"/>
  <c r="AX178" i="6" s="1"/>
  <c r="AZ178" i="6" s="1"/>
  <c r="BH23" i="6"/>
  <c r="AC23" i="6" s="1"/>
  <c r="BI23" i="6"/>
  <c r="BK23" i="6" s="1"/>
  <c r="BM23" i="6" s="1"/>
  <c r="BO23" i="6" s="1"/>
  <c r="AU47" i="6"/>
  <c r="X47" i="6" s="1"/>
  <c r="AV47" i="6"/>
  <c r="AX47" i="6" s="1"/>
  <c r="AZ47" i="6" s="1"/>
  <c r="AU71" i="6"/>
  <c r="X71" i="6" s="1"/>
  <c r="AV71" i="6"/>
  <c r="AX71" i="6" s="1"/>
  <c r="AZ71" i="6" s="1"/>
  <c r="BG83" i="6"/>
  <c r="BI83" i="6" s="1"/>
  <c r="BK83" i="6" s="1"/>
  <c r="BM83" i="6" s="1"/>
  <c r="BO83" i="6" s="1"/>
  <c r="AT99" i="6"/>
  <c r="AU127" i="6"/>
  <c r="X127" i="6" s="1"/>
  <c r="AV127" i="6"/>
  <c r="AX127" i="6" s="1"/>
  <c r="AZ127" i="6" s="1"/>
  <c r="AU151" i="6"/>
  <c r="X151" i="6" s="1"/>
  <c r="AV151" i="6"/>
  <c r="AX151" i="6" s="1"/>
  <c r="AZ151" i="6" s="1"/>
  <c r="AU10" i="6"/>
  <c r="X10" i="6" s="1"/>
  <c r="AV10" i="6"/>
  <c r="AT46" i="6"/>
  <c r="BG150" i="6"/>
  <c r="BI150" i="6" s="1"/>
  <c r="BK150" i="6" s="1"/>
  <c r="BM150" i="6" s="1"/>
  <c r="BO150" i="6" s="1"/>
  <c r="AU32" i="6"/>
  <c r="X32" i="6" s="1"/>
  <c r="AV32" i="6"/>
  <c r="AX32" i="6" s="1"/>
  <c r="AZ32" i="6" s="1"/>
  <c r="AU60" i="6"/>
  <c r="X60" i="6" s="1"/>
  <c r="AV60" i="6"/>
  <c r="AX60" i="6" s="1"/>
  <c r="AZ60" i="6" s="1"/>
  <c r="AU96" i="6"/>
  <c r="X96" i="6" s="1"/>
  <c r="AV96" i="6"/>
  <c r="AX96" i="6" s="1"/>
  <c r="AZ96" i="6" s="1"/>
  <c r="BH116" i="6"/>
  <c r="AC116" i="6" s="1"/>
  <c r="BI116" i="6"/>
  <c r="BK116" i="6" s="1"/>
  <c r="BM116" i="6" s="1"/>
  <c r="BO116" i="6" s="1"/>
  <c r="AU144" i="6"/>
  <c r="X144" i="6" s="1"/>
  <c r="AV144" i="6"/>
  <c r="AX144" i="6" s="1"/>
  <c r="AZ144" i="6" s="1"/>
  <c r="AU168" i="6"/>
  <c r="X168" i="6" s="1"/>
  <c r="AV168" i="6"/>
  <c r="AX168" i="6" s="1"/>
  <c r="AZ168" i="6" s="1"/>
  <c r="BG172" i="6"/>
  <c r="BI172" i="6" s="1"/>
  <c r="BK172" i="6" s="1"/>
  <c r="BM172" i="6" s="1"/>
  <c r="BO172" i="6" s="1"/>
  <c r="AU38" i="6"/>
  <c r="X38" i="6" s="1"/>
  <c r="AV38" i="6"/>
  <c r="AX38" i="6" s="1"/>
  <c r="AZ38" i="6" s="1"/>
  <c r="BH70" i="6"/>
  <c r="AC70" i="6" s="1"/>
  <c r="BI70" i="6"/>
  <c r="BK70" i="6" s="1"/>
  <c r="BM70" i="6" s="1"/>
  <c r="BO70" i="6" s="1"/>
  <c r="AU17" i="6"/>
  <c r="X17" i="6" s="1"/>
  <c r="AV17" i="6"/>
  <c r="AX17" i="6" s="1"/>
  <c r="AZ17" i="6" s="1"/>
  <c r="BG33" i="6"/>
  <c r="BI33" i="6" s="1"/>
  <c r="BK33" i="6" s="1"/>
  <c r="BM33" i="6" s="1"/>
  <c r="BO33" i="6" s="1"/>
  <c r="AT57" i="6"/>
  <c r="BG69" i="6"/>
  <c r="BI69" i="6" s="1"/>
  <c r="BK69" i="6" s="1"/>
  <c r="BM69" i="6" s="1"/>
  <c r="BO69" i="6" s="1"/>
  <c r="BG89" i="6"/>
  <c r="BI89" i="6" s="1"/>
  <c r="BK89" i="6" s="1"/>
  <c r="BM89" i="6" s="1"/>
  <c r="BO89" i="6" s="1"/>
  <c r="BG113" i="6"/>
  <c r="BI113" i="6" s="1"/>
  <c r="BK113" i="6" s="1"/>
  <c r="BM113" i="6" s="1"/>
  <c r="BO113" i="6" s="1"/>
  <c r="BG133" i="6"/>
  <c r="BI133" i="6" s="1"/>
  <c r="BK133" i="6" s="1"/>
  <c r="BM133" i="6" s="1"/>
  <c r="BO133" i="6" s="1"/>
  <c r="BG161" i="6"/>
  <c r="BI161" i="6" s="1"/>
  <c r="BK161" i="6" s="1"/>
  <c r="BM161" i="6" s="1"/>
  <c r="BO161" i="6" s="1"/>
  <c r="AU146" i="6"/>
  <c r="X146" i="6" s="1"/>
  <c r="AV146" i="6"/>
  <c r="AX146" i="6" s="1"/>
  <c r="AZ146" i="6" s="1"/>
  <c r="BG207" i="6"/>
  <c r="BI207" i="6" s="1"/>
  <c r="BK207" i="6" s="1"/>
  <c r="BM207" i="6" s="1"/>
  <c r="AU15" i="6"/>
  <c r="X15" i="6" s="1"/>
  <c r="AV15" i="6"/>
  <c r="AX15" i="6" s="1"/>
  <c r="AZ15" i="6" s="1"/>
  <c r="BG27" i="6"/>
  <c r="BI27" i="6" s="1"/>
  <c r="BK27" i="6" s="1"/>
  <c r="BM27" i="6" s="1"/>
  <c r="BO27" i="6" s="1"/>
  <c r="AU31" i="6"/>
  <c r="X31" i="6" s="1"/>
  <c r="AV31" i="6"/>
  <c r="AX31" i="6" s="1"/>
  <c r="AZ31" i="6" s="1"/>
  <c r="AU39" i="6"/>
  <c r="X39" i="6" s="1"/>
  <c r="AV39" i="6"/>
  <c r="AX39" i="6" s="1"/>
  <c r="AZ39" i="6" s="1"/>
  <c r="BG43" i="6"/>
  <c r="BH43" i="6" s="1"/>
  <c r="AC43" i="6" s="1"/>
  <c r="BG51" i="6"/>
  <c r="BI51" i="6" s="1"/>
  <c r="BK51" i="6" s="1"/>
  <c r="BM51" i="6" s="1"/>
  <c r="BO51" i="6" s="1"/>
  <c r="BG59" i="6"/>
  <c r="BI59" i="6" s="1"/>
  <c r="BK59" i="6" s="1"/>
  <c r="BM59" i="6" s="1"/>
  <c r="BO59" i="6" s="1"/>
  <c r="BG63" i="6"/>
  <c r="BI63" i="6" s="1"/>
  <c r="BK63" i="6" s="1"/>
  <c r="BM63" i="6" s="1"/>
  <c r="BO63" i="6" s="1"/>
  <c r="BG75" i="6"/>
  <c r="BI75" i="6" s="1"/>
  <c r="BK75" i="6" s="1"/>
  <c r="BM75" i="6" s="1"/>
  <c r="BO75" i="6" s="1"/>
  <c r="AT83" i="6"/>
  <c r="BG91" i="6"/>
  <c r="BI91" i="6" s="1"/>
  <c r="BK91" i="6" s="1"/>
  <c r="BM91" i="6" s="1"/>
  <c r="BO91" i="6" s="1"/>
  <c r="BG103" i="6"/>
  <c r="BI103" i="6" s="1"/>
  <c r="BK103" i="6" s="1"/>
  <c r="BM103" i="6" s="1"/>
  <c r="BO103" i="6" s="1"/>
  <c r="BG111" i="6"/>
  <c r="BI111" i="6" s="1"/>
  <c r="BK111" i="6" s="1"/>
  <c r="BM111" i="6" s="1"/>
  <c r="BO111" i="6" s="1"/>
  <c r="AT119" i="6"/>
  <c r="AU131" i="6"/>
  <c r="X131" i="6" s="1"/>
  <c r="AV131" i="6"/>
  <c r="AX131" i="6" s="1"/>
  <c r="AZ131" i="6" s="1"/>
  <c r="BG139" i="6"/>
  <c r="BI139" i="6" s="1"/>
  <c r="BK139" i="6" s="1"/>
  <c r="BM139" i="6" s="1"/>
  <c r="BO139" i="6" s="1"/>
  <c r="AU147" i="6"/>
  <c r="X147" i="6" s="1"/>
  <c r="AV147" i="6"/>
  <c r="AX147" i="6" s="1"/>
  <c r="AZ147" i="6" s="1"/>
  <c r="BG155" i="6"/>
  <c r="BI155" i="6" s="1"/>
  <c r="BK155" i="6" s="1"/>
  <c r="BM155" i="6" s="1"/>
  <c r="BO155" i="6" s="1"/>
  <c r="AT163" i="6"/>
  <c r="AU175" i="6"/>
  <c r="X175" i="6" s="1"/>
  <c r="AV175" i="6"/>
  <c r="AX175" i="6" s="1"/>
  <c r="AZ175" i="6" s="1"/>
  <c r="BG46" i="6"/>
  <c r="BI46" i="6" s="1"/>
  <c r="BK46" i="6" s="1"/>
  <c r="BM46" i="6" s="1"/>
  <c r="BO46" i="6" s="1"/>
  <c r="AT62" i="6"/>
  <c r="BH86" i="6"/>
  <c r="AC86" i="6" s="1"/>
  <c r="BI86" i="6"/>
  <c r="BK86" i="6" s="1"/>
  <c r="BM86" i="6" s="1"/>
  <c r="BO86" i="6" s="1"/>
  <c r="AU126" i="6"/>
  <c r="X126" i="6" s="1"/>
  <c r="AV126" i="6"/>
  <c r="AX126" i="6" s="1"/>
  <c r="AZ126" i="6" s="1"/>
  <c r="AU150" i="6"/>
  <c r="X150" i="6" s="1"/>
  <c r="AV150" i="6"/>
  <c r="AX150" i="6" s="1"/>
  <c r="AZ150" i="6" s="1"/>
  <c r="BG174" i="6"/>
  <c r="BI174" i="6" s="1"/>
  <c r="BK174" i="6" s="1"/>
  <c r="BM174" i="6" s="1"/>
  <c r="BO174" i="6" s="1"/>
  <c r="AU12" i="6"/>
  <c r="X12" i="6" s="1"/>
  <c r="AV12" i="6"/>
  <c r="AX12" i="6" s="1"/>
  <c r="AZ12" i="6" s="1"/>
  <c r="BG16" i="6"/>
  <c r="BI16" i="6" s="1"/>
  <c r="BK16" i="6" s="1"/>
  <c r="BM16" i="6" s="1"/>
  <c r="BO16" i="6" s="1"/>
  <c r="BG24" i="6"/>
  <c r="BI24" i="6" s="1"/>
  <c r="BK24" i="6" s="1"/>
  <c r="BM24" i="6" s="1"/>
  <c r="BO24" i="6" s="1"/>
  <c r="BH28" i="6"/>
  <c r="AC28" i="6" s="1"/>
  <c r="BI28" i="6"/>
  <c r="BK28" i="6" s="1"/>
  <c r="BM28" i="6" s="1"/>
  <c r="BO28" i="6" s="1"/>
  <c r="BG36" i="6"/>
  <c r="BI36" i="6" s="1"/>
  <c r="BK36" i="6" s="1"/>
  <c r="BM36" i="6" s="1"/>
  <c r="BO36" i="6" s="1"/>
  <c r="BH40" i="6"/>
  <c r="AC40" i="6" s="1"/>
  <c r="BI40" i="6"/>
  <c r="BK40" i="6" s="1"/>
  <c r="BM40" i="6" s="1"/>
  <c r="BO40" i="6" s="1"/>
  <c r="BG48" i="6"/>
  <c r="BI48" i="6" s="1"/>
  <c r="BK48" i="6" s="1"/>
  <c r="BM48" i="6" s="1"/>
  <c r="BO48" i="6" s="1"/>
  <c r="AU52" i="6"/>
  <c r="X52" i="6" s="1"/>
  <c r="AV52" i="6"/>
  <c r="AX52" i="6" s="1"/>
  <c r="AZ52" i="6" s="1"/>
  <c r="AU64" i="6"/>
  <c r="X64" i="6" s="1"/>
  <c r="AV64" i="6"/>
  <c r="AX64" i="6" s="1"/>
  <c r="AZ64" i="6" s="1"/>
  <c r="AU68" i="6"/>
  <c r="X68" i="6" s="1"/>
  <c r="AV68" i="6"/>
  <c r="AX68" i="6" s="1"/>
  <c r="AZ68" i="6" s="1"/>
  <c r="AT80" i="6"/>
  <c r="BH84" i="6"/>
  <c r="AC84" i="6" s="1"/>
  <c r="BI84" i="6"/>
  <c r="BK84" i="6" s="1"/>
  <c r="BM84" i="6" s="1"/>
  <c r="BO84" i="6" s="1"/>
  <c r="BH96" i="6"/>
  <c r="AC96" i="6" s="1"/>
  <c r="BI96" i="6"/>
  <c r="BK96" i="6" s="1"/>
  <c r="BM96" i="6" s="1"/>
  <c r="BO96" i="6" s="1"/>
  <c r="BG100" i="6"/>
  <c r="BI100" i="6" s="1"/>
  <c r="BK100" i="6" s="1"/>
  <c r="BM100" i="6" s="1"/>
  <c r="BO100" i="6" s="1"/>
  <c r="AU108" i="6"/>
  <c r="X108" i="6" s="1"/>
  <c r="AV108" i="6"/>
  <c r="AX108" i="6" s="1"/>
  <c r="AZ108" i="6" s="1"/>
  <c r="BG120" i="6"/>
  <c r="BI120" i="6" s="1"/>
  <c r="BK120" i="6" s="1"/>
  <c r="BM120" i="6" s="1"/>
  <c r="BO120" i="6" s="1"/>
  <c r="BG128" i="6"/>
  <c r="BI128" i="6" s="1"/>
  <c r="BK128" i="6" s="1"/>
  <c r="BM128" i="6" s="1"/>
  <c r="BO128" i="6" s="1"/>
  <c r="BH136" i="6"/>
  <c r="AC136" i="6" s="1"/>
  <c r="BI136" i="6"/>
  <c r="BK136" i="6" s="1"/>
  <c r="BM136" i="6" s="1"/>
  <c r="BO136" i="6" s="1"/>
  <c r="BH148" i="6"/>
  <c r="AC148" i="6" s="1"/>
  <c r="BI148" i="6"/>
  <c r="BK148" i="6" s="1"/>
  <c r="BM148" i="6" s="1"/>
  <c r="BO148" i="6" s="1"/>
  <c r="BH152" i="6"/>
  <c r="AC152" i="6" s="1"/>
  <c r="BI152" i="6"/>
  <c r="BK152" i="6" s="1"/>
  <c r="BM152" i="6" s="1"/>
  <c r="BO152" i="6" s="1"/>
  <c r="AU164" i="6"/>
  <c r="X164" i="6" s="1"/>
  <c r="AV164" i="6"/>
  <c r="AX164" i="6" s="1"/>
  <c r="AZ164" i="6" s="1"/>
  <c r="AU172" i="6"/>
  <c r="X172" i="6" s="1"/>
  <c r="AV172" i="6"/>
  <c r="AX172" i="6" s="1"/>
  <c r="AZ172" i="6" s="1"/>
  <c r="BG180" i="6"/>
  <c r="BI180" i="6" s="1"/>
  <c r="BK180" i="6" s="1"/>
  <c r="BM180" i="6" s="1"/>
  <c r="BO180" i="6" s="1"/>
  <c r="BH22" i="6"/>
  <c r="AC22" i="6" s="1"/>
  <c r="BI22" i="6"/>
  <c r="BK22" i="6" s="1"/>
  <c r="BM22" i="6" s="1"/>
  <c r="BO22" i="6" s="1"/>
  <c r="BG30" i="6"/>
  <c r="BI30" i="6" s="1"/>
  <c r="BK30" i="6" s="1"/>
  <c r="BM30" i="6" s="1"/>
  <c r="BO30" i="6" s="1"/>
  <c r="BH34" i="6"/>
  <c r="AC34" i="6" s="1"/>
  <c r="BI34" i="6"/>
  <c r="BK34" i="6" s="1"/>
  <c r="BM34" i="6" s="1"/>
  <c r="BO34" i="6" s="1"/>
  <c r="AU42" i="6"/>
  <c r="X42" i="6" s="1"/>
  <c r="AV42" i="6"/>
  <c r="AX42" i="6" s="1"/>
  <c r="AZ42" i="6" s="1"/>
  <c r="BH50" i="6"/>
  <c r="AC50" i="6" s="1"/>
  <c r="BI50" i="6"/>
  <c r="BK50" i="6" s="1"/>
  <c r="BM50" i="6" s="1"/>
  <c r="BO50" i="6" s="1"/>
  <c r="AU70" i="6"/>
  <c r="X70" i="6" s="1"/>
  <c r="AV70" i="6"/>
  <c r="AX70" i="6" s="1"/>
  <c r="AZ70" i="6" s="1"/>
  <c r="BG82" i="6"/>
  <c r="BI82" i="6" s="1"/>
  <c r="BK82" i="6" s="1"/>
  <c r="BM82" i="6" s="1"/>
  <c r="BO82" i="6" s="1"/>
  <c r="BH118" i="6"/>
  <c r="AC118" i="6" s="1"/>
  <c r="BI118" i="6"/>
  <c r="BK118" i="6" s="1"/>
  <c r="BM118" i="6" s="1"/>
  <c r="BO118" i="6" s="1"/>
  <c r="BG142" i="6"/>
  <c r="BI142" i="6" s="1"/>
  <c r="BK142" i="6" s="1"/>
  <c r="BM142" i="6" s="1"/>
  <c r="BO142" i="6" s="1"/>
  <c r="AU166" i="6"/>
  <c r="X166" i="6" s="1"/>
  <c r="AV166" i="6"/>
  <c r="AX166" i="6" s="1"/>
  <c r="AZ166" i="6" s="1"/>
  <c r="BG205" i="6"/>
  <c r="BI205" i="6" s="1"/>
  <c r="BK205" i="6" s="1"/>
  <c r="BM205" i="6" s="1"/>
  <c r="AU209" i="6"/>
  <c r="X209" i="6" s="1"/>
  <c r="AV209" i="6"/>
  <c r="AE209" i="6" s="1"/>
  <c r="BG21" i="6"/>
  <c r="BI21" i="6" s="1"/>
  <c r="BK21" i="6" s="1"/>
  <c r="BM21" i="6" s="1"/>
  <c r="BO21" i="6" s="1"/>
  <c r="AT33" i="6"/>
  <c r="BG37" i="6"/>
  <c r="BI37" i="6" s="1"/>
  <c r="BK37" i="6" s="1"/>
  <c r="BM37" i="6" s="1"/>
  <c r="BO37" i="6" s="1"/>
  <c r="BG49" i="6"/>
  <c r="BI49" i="6" s="1"/>
  <c r="BK49" i="6" s="1"/>
  <c r="BM49" i="6" s="1"/>
  <c r="BO49" i="6" s="1"/>
  <c r="BG61" i="6"/>
  <c r="BI61" i="6" s="1"/>
  <c r="BK61" i="6" s="1"/>
  <c r="BM61" i="6" s="1"/>
  <c r="BO61" i="6" s="1"/>
  <c r="AU73" i="6"/>
  <c r="X73" i="6" s="1"/>
  <c r="AV73" i="6"/>
  <c r="AX73" i="6" s="1"/>
  <c r="AZ73" i="6" s="1"/>
  <c r="BG77" i="6"/>
  <c r="BI77" i="6" s="1"/>
  <c r="BK77" i="6" s="1"/>
  <c r="BM77" i="6" s="1"/>
  <c r="BO77" i="6" s="1"/>
  <c r="AU89" i="6"/>
  <c r="X89" i="6" s="1"/>
  <c r="AV89" i="6"/>
  <c r="AX89" i="6" s="1"/>
  <c r="AZ89" i="6" s="1"/>
  <c r="AT101" i="6"/>
  <c r="AU113" i="6"/>
  <c r="X113" i="6" s="1"/>
  <c r="AV113" i="6"/>
  <c r="AX113" i="6" s="1"/>
  <c r="AZ113" i="6" s="1"/>
  <c r="BG117" i="6"/>
  <c r="BI117" i="6" s="1"/>
  <c r="BK117" i="6" s="1"/>
  <c r="BM117" i="6" s="1"/>
  <c r="BO117" i="6" s="1"/>
  <c r="BG125" i="6"/>
  <c r="BI125" i="6" s="1"/>
  <c r="BK125" i="6" s="1"/>
  <c r="BM125" i="6" s="1"/>
  <c r="BO125" i="6" s="1"/>
  <c r="AU133" i="6"/>
  <c r="X133" i="6" s="1"/>
  <c r="AV133" i="6"/>
  <c r="AX133" i="6" s="1"/>
  <c r="AZ133" i="6" s="1"/>
  <c r="BG145" i="6"/>
  <c r="BI145" i="6" s="1"/>
  <c r="BK145" i="6" s="1"/>
  <c r="BM145" i="6" s="1"/>
  <c r="BO145" i="6" s="1"/>
  <c r="BG153" i="6"/>
  <c r="BI153" i="6" s="1"/>
  <c r="BK153" i="6" s="1"/>
  <c r="BM153" i="6" s="1"/>
  <c r="BO153" i="6" s="1"/>
  <c r="AT161" i="6"/>
  <c r="BG165" i="6"/>
  <c r="BI165" i="6" s="1"/>
  <c r="BK165" i="6" s="1"/>
  <c r="BM165" i="6" s="1"/>
  <c r="BO165" i="6" s="1"/>
  <c r="AU173" i="6"/>
  <c r="X173" i="6" s="1"/>
  <c r="AV173" i="6"/>
  <c r="AX173" i="6" s="1"/>
  <c r="AZ173" i="6" s="1"/>
  <c r="AU206" i="6"/>
  <c r="X206" i="6" s="1"/>
  <c r="AV206" i="6"/>
  <c r="BH66" i="6"/>
  <c r="AC66" i="6" s="1"/>
  <c r="BI66" i="6"/>
  <c r="BK66" i="6" s="1"/>
  <c r="BM66" i="6" s="1"/>
  <c r="BO66" i="6" s="1"/>
  <c r="AU90" i="6"/>
  <c r="X90" i="6" s="1"/>
  <c r="AV90" i="6"/>
  <c r="AX90" i="6" s="1"/>
  <c r="AZ90" i="6" s="1"/>
  <c r="AU122" i="6"/>
  <c r="X122" i="6" s="1"/>
  <c r="AV122" i="6"/>
  <c r="AX122" i="6" s="1"/>
  <c r="AZ122" i="6" s="1"/>
  <c r="AU158" i="6"/>
  <c r="X158" i="6" s="1"/>
  <c r="AV158" i="6"/>
  <c r="AX158" i="6" s="1"/>
  <c r="AZ158" i="6" s="1"/>
  <c r="BG178" i="6"/>
  <c r="BI178" i="6" s="1"/>
  <c r="BK178" i="6" s="1"/>
  <c r="BM178" i="6" s="1"/>
  <c r="BO178" i="6" s="1"/>
  <c r="D242" i="5"/>
  <c r="AE206" i="6" l="1"/>
  <c r="AE205" i="6"/>
  <c r="AE208" i="6"/>
  <c r="AE202" i="6"/>
  <c r="AU129" i="6"/>
  <c r="X129" i="6" s="1"/>
  <c r="AU80" i="6"/>
  <c r="X80" i="6" s="1"/>
  <c r="AU62" i="6"/>
  <c r="X62" i="6" s="1"/>
  <c r="AU57" i="6"/>
  <c r="X57" i="6" s="1"/>
  <c r="AU14" i="6"/>
  <c r="X14" i="6" s="1"/>
  <c r="AU136" i="6"/>
  <c r="X136" i="6" s="1"/>
  <c r="AV43" i="6"/>
  <c r="AX43" i="6" s="1"/>
  <c r="AZ43" i="6" s="1"/>
  <c r="AU141" i="6"/>
  <c r="X141" i="6" s="1"/>
  <c r="AU104" i="6"/>
  <c r="X104" i="6" s="1"/>
  <c r="AU30" i="6"/>
  <c r="X30" i="6" s="1"/>
  <c r="AU99" i="6"/>
  <c r="X99" i="6" s="1"/>
  <c r="AU19" i="6"/>
  <c r="X19" i="6" s="1"/>
  <c r="AU163" i="6"/>
  <c r="X163" i="6" s="1"/>
  <c r="AU119" i="6"/>
  <c r="X119" i="6" s="1"/>
  <c r="AU83" i="6"/>
  <c r="X83" i="6" s="1"/>
  <c r="AU145" i="6"/>
  <c r="X145" i="6" s="1"/>
  <c r="AU152" i="6"/>
  <c r="X152" i="6" s="1"/>
  <c r="AU78" i="6"/>
  <c r="X78" i="6" s="1"/>
  <c r="AU120" i="6"/>
  <c r="X120" i="6" s="1"/>
  <c r="AU169" i="6"/>
  <c r="X169" i="6" s="1"/>
  <c r="AU27" i="6"/>
  <c r="X27" i="6" s="1"/>
  <c r="AU161" i="6"/>
  <c r="X161" i="6" s="1"/>
  <c r="AU33" i="6"/>
  <c r="X33" i="6" s="1"/>
  <c r="AU16" i="6"/>
  <c r="X16" i="6" s="1"/>
  <c r="AU20" i="6"/>
  <c r="X20" i="6" s="1"/>
  <c r="AU11" i="6"/>
  <c r="X11" i="6" s="1"/>
  <c r="AU207" i="6"/>
  <c r="Y206" i="6"/>
  <c r="BH30" i="6"/>
  <c r="AC30" i="6" s="1"/>
  <c r="BH180" i="6"/>
  <c r="AC180" i="6" s="1"/>
  <c r="BH142" i="6"/>
  <c r="AC142" i="6" s="1"/>
  <c r="BH82" i="6"/>
  <c r="AC82" i="6" s="1"/>
  <c r="BH73" i="6"/>
  <c r="AC73" i="6" s="1"/>
  <c r="BH113" i="6"/>
  <c r="AC113" i="6" s="1"/>
  <c r="BH155" i="6"/>
  <c r="BH91" i="6"/>
  <c r="AC91" i="6" s="1"/>
  <c r="BH121" i="6"/>
  <c r="AC121" i="6" s="1"/>
  <c r="BH36" i="6"/>
  <c r="BH24" i="6"/>
  <c r="AC24" i="6" s="1"/>
  <c r="BH75" i="6"/>
  <c r="BH69" i="6"/>
  <c r="BH47" i="6"/>
  <c r="AC47" i="6" s="1"/>
  <c r="BH64" i="6"/>
  <c r="AC64" i="6" s="1"/>
  <c r="BH87" i="6"/>
  <c r="AC87" i="6" s="1"/>
  <c r="BH27" i="6"/>
  <c r="AC27" i="6" s="1"/>
  <c r="BH161" i="6"/>
  <c r="BH206" i="6"/>
  <c r="AC206" i="6" s="1"/>
  <c r="BH59" i="6"/>
  <c r="AC59" i="6" s="1"/>
  <c r="BH33" i="6"/>
  <c r="BH72" i="6"/>
  <c r="AC72" i="6" s="1"/>
  <c r="BH14" i="6"/>
  <c r="AC14" i="6" s="1"/>
  <c r="BH114" i="6"/>
  <c r="AC114" i="6" s="1"/>
  <c r="BH173" i="6"/>
  <c r="AC173" i="6" s="1"/>
  <c r="BH16" i="6"/>
  <c r="AC16" i="6" s="1"/>
  <c r="BH63" i="6"/>
  <c r="AC63" i="6" s="1"/>
  <c r="BH51" i="6"/>
  <c r="BH133" i="6"/>
  <c r="AC133" i="6" s="1"/>
  <c r="BH89" i="6"/>
  <c r="AC89" i="6" s="1"/>
  <c r="BH172" i="6"/>
  <c r="AC172" i="6" s="1"/>
  <c r="BH177" i="6"/>
  <c r="AC177" i="6" s="1"/>
  <c r="BH129" i="6"/>
  <c r="AC129" i="6" s="1"/>
  <c r="BH41" i="6"/>
  <c r="AC41" i="6" s="1"/>
  <c r="BH162" i="6"/>
  <c r="AC162" i="6" s="1"/>
  <c r="BH167" i="6"/>
  <c r="BH209" i="6"/>
  <c r="AC209" i="6" s="1"/>
  <c r="BH109" i="6"/>
  <c r="AC109" i="6" s="1"/>
  <c r="BH35" i="6"/>
  <c r="AC35" i="6" s="1"/>
  <c r="BH203" i="6"/>
  <c r="AC203" i="6" s="1"/>
  <c r="BH141" i="6"/>
  <c r="AC141" i="6" s="1"/>
  <c r="BH174" i="6"/>
  <c r="AC174" i="6" s="1"/>
  <c r="BH137" i="6"/>
  <c r="BH13" i="6"/>
  <c r="BH147" i="6"/>
  <c r="AC147" i="6" s="1"/>
  <c r="BH123" i="6"/>
  <c r="AC123" i="6" s="1"/>
  <c r="BH68" i="6"/>
  <c r="BH92" i="6"/>
  <c r="BH76" i="6"/>
  <c r="AC76" i="6" s="1"/>
  <c r="BH39" i="6"/>
  <c r="BH165" i="6"/>
  <c r="BH153" i="6"/>
  <c r="AC153" i="6" s="1"/>
  <c r="BH61" i="6"/>
  <c r="AC61" i="6" s="1"/>
  <c r="BH37" i="6"/>
  <c r="BH21" i="6"/>
  <c r="AC21" i="6" s="1"/>
  <c r="BH120" i="6"/>
  <c r="AC120" i="6" s="1"/>
  <c r="BH65" i="6"/>
  <c r="AC65" i="6" s="1"/>
  <c r="BH67" i="6"/>
  <c r="BH149" i="6"/>
  <c r="AC149" i="6" s="1"/>
  <c r="BH85" i="6"/>
  <c r="AC85" i="6" s="1"/>
  <c r="BH57" i="6"/>
  <c r="BH10" i="6"/>
  <c r="BH171" i="6"/>
  <c r="AC171" i="6" s="1"/>
  <c r="BH99" i="6"/>
  <c r="AC99" i="6" s="1"/>
  <c r="BH29" i="6"/>
  <c r="BH166" i="6"/>
  <c r="AC166" i="6" s="1"/>
  <c r="BH80" i="6"/>
  <c r="AC80" i="6" s="1"/>
  <c r="BH204" i="6"/>
  <c r="AC204" i="6" s="1"/>
  <c r="BH145" i="6"/>
  <c r="BH49" i="6"/>
  <c r="BH111" i="6"/>
  <c r="AC111" i="6" s="1"/>
  <c r="BH83" i="6"/>
  <c r="AC83" i="6" s="1"/>
  <c r="BH20" i="6"/>
  <c r="AC20" i="6" s="1"/>
  <c r="BH208" i="6"/>
  <c r="AC208" i="6" s="1"/>
  <c r="BH163" i="6"/>
  <c r="AC163" i="6" s="1"/>
  <c r="BH131" i="6"/>
  <c r="BH79" i="6"/>
  <c r="AC79" i="6" s="1"/>
  <c r="BH179" i="6"/>
  <c r="AC179" i="6" s="1"/>
  <c r="BH151" i="6"/>
  <c r="BH107" i="6"/>
  <c r="AC107" i="6" s="1"/>
  <c r="BH95" i="6"/>
  <c r="BH12" i="6"/>
  <c r="AC12" i="6" s="1"/>
  <c r="Y209" i="6"/>
  <c r="AW209" i="6"/>
  <c r="AW64" i="6"/>
  <c r="AY64" i="6" s="1"/>
  <c r="BA64" i="6" s="1"/>
  <c r="BJ24" i="6"/>
  <c r="BL24" i="6" s="1"/>
  <c r="BN24" i="6" s="1"/>
  <c r="BP24" i="6" s="1"/>
  <c r="BQ24" i="6" s="1"/>
  <c r="AW71" i="6"/>
  <c r="AY71" i="6" s="1"/>
  <c r="BA71" i="6" s="1"/>
  <c r="AW178" i="6"/>
  <c r="AY178" i="6" s="1"/>
  <c r="BA178" i="6" s="1"/>
  <c r="AW165" i="6"/>
  <c r="AY165" i="6" s="1"/>
  <c r="BA165" i="6" s="1"/>
  <c r="BJ156" i="6"/>
  <c r="BL156" i="6" s="1"/>
  <c r="BN156" i="6" s="1"/>
  <c r="BP156" i="6" s="1"/>
  <c r="BQ156" i="6" s="1"/>
  <c r="BJ140" i="6"/>
  <c r="BL140" i="6" s="1"/>
  <c r="BN140" i="6" s="1"/>
  <c r="BP140" i="6" s="1"/>
  <c r="BQ140" i="6" s="1"/>
  <c r="AV112" i="6"/>
  <c r="AX112" i="6" s="1"/>
  <c r="AZ112" i="6" s="1"/>
  <c r="AW88" i="6"/>
  <c r="AY88" i="6" s="1"/>
  <c r="BA88" i="6" s="1"/>
  <c r="AW40" i="6"/>
  <c r="AY40" i="6" s="1"/>
  <c r="BA40" i="6" s="1"/>
  <c r="AW75" i="6"/>
  <c r="AY75" i="6" s="1"/>
  <c r="BA75" i="6" s="1"/>
  <c r="AW55" i="6"/>
  <c r="AY55" i="6" s="1"/>
  <c r="BA55" i="6" s="1"/>
  <c r="BJ15" i="6"/>
  <c r="BL15" i="6" s="1"/>
  <c r="BN15" i="6" s="1"/>
  <c r="BP15" i="6" s="1"/>
  <c r="BQ15" i="6" s="1"/>
  <c r="AX203" i="6"/>
  <c r="AF203" i="6" s="1"/>
  <c r="AW170" i="6"/>
  <c r="AY170" i="6" s="1"/>
  <c r="BA170" i="6" s="1"/>
  <c r="AW48" i="6"/>
  <c r="AY48" i="6" s="1"/>
  <c r="BA48" i="6" s="1"/>
  <c r="AW74" i="6"/>
  <c r="AY74" i="6" s="1"/>
  <c r="BA74" i="6" s="1"/>
  <c r="AV110" i="6"/>
  <c r="AX110" i="6" s="1"/>
  <c r="AZ110" i="6" s="1"/>
  <c r="AW102" i="6"/>
  <c r="AY102" i="6" s="1"/>
  <c r="BA102" i="6" s="1"/>
  <c r="AV137" i="6"/>
  <c r="AX137" i="6" s="1"/>
  <c r="AZ137" i="6" s="1"/>
  <c r="AW140" i="6"/>
  <c r="AY140" i="6" s="1"/>
  <c r="BA140" i="6" s="1"/>
  <c r="AW116" i="6"/>
  <c r="AY116" i="6" s="1"/>
  <c r="BA116" i="6" s="1"/>
  <c r="BJ74" i="6"/>
  <c r="BL74" i="6" s="1"/>
  <c r="BN74" i="6" s="1"/>
  <c r="BP74" i="6" s="1"/>
  <c r="BQ74" i="6" s="1"/>
  <c r="AW167" i="6"/>
  <c r="AY167" i="6" s="1"/>
  <c r="BA167" i="6" s="1"/>
  <c r="BJ135" i="6"/>
  <c r="BL135" i="6" s="1"/>
  <c r="BN135" i="6" s="1"/>
  <c r="BP135" i="6" s="1"/>
  <c r="BQ135" i="6" s="1"/>
  <c r="BJ90" i="6"/>
  <c r="BL90" i="6" s="1"/>
  <c r="BN90" i="6" s="1"/>
  <c r="BP90" i="6" s="1"/>
  <c r="BQ90" i="6" s="1"/>
  <c r="AW45" i="6"/>
  <c r="AY45" i="6" s="1"/>
  <c r="BA45" i="6" s="1"/>
  <c r="AV58" i="6"/>
  <c r="AX58" i="6" s="1"/>
  <c r="AZ58" i="6" s="1"/>
  <c r="AW148" i="6"/>
  <c r="AY148" i="6" s="1"/>
  <c r="BA148" i="6" s="1"/>
  <c r="AV36" i="6"/>
  <c r="AX36" i="6" s="1"/>
  <c r="AZ36" i="6" s="1"/>
  <c r="AV174" i="6"/>
  <c r="AX174" i="6" s="1"/>
  <c r="AZ174" i="6" s="1"/>
  <c r="AW114" i="6"/>
  <c r="AY114" i="6" s="1"/>
  <c r="BA114" i="6" s="1"/>
  <c r="AW135" i="6"/>
  <c r="AY135" i="6" s="1"/>
  <c r="BA135" i="6" s="1"/>
  <c r="AV51" i="6"/>
  <c r="AX51" i="6" s="1"/>
  <c r="AZ51" i="6" s="1"/>
  <c r="BH178" i="6"/>
  <c r="AC178" i="6" s="1"/>
  <c r="AW158" i="6"/>
  <c r="AY158" i="6" s="1"/>
  <c r="BA158" i="6" s="1"/>
  <c r="BJ66" i="6"/>
  <c r="BL66" i="6" s="1"/>
  <c r="BN66" i="6" s="1"/>
  <c r="BP66" i="6" s="1"/>
  <c r="BQ66" i="6" s="1"/>
  <c r="BH117" i="6"/>
  <c r="AC117" i="6" s="1"/>
  <c r="AW113" i="6"/>
  <c r="AY113" i="6" s="1"/>
  <c r="BA113" i="6" s="1"/>
  <c r="BH205" i="6"/>
  <c r="AC205" i="6" s="1"/>
  <c r="AW166" i="6"/>
  <c r="AY166" i="6" s="1"/>
  <c r="BA166" i="6" s="1"/>
  <c r="BJ118" i="6"/>
  <c r="BL118" i="6" s="1"/>
  <c r="BN118" i="6" s="1"/>
  <c r="BP118" i="6" s="1"/>
  <c r="BQ118" i="6" s="1"/>
  <c r="BJ34" i="6"/>
  <c r="BL34" i="6" s="1"/>
  <c r="BN34" i="6" s="1"/>
  <c r="BP34" i="6" s="1"/>
  <c r="BQ34" i="6" s="1"/>
  <c r="BJ22" i="6"/>
  <c r="BL22" i="6" s="1"/>
  <c r="BN22" i="6" s="1"/>
  <c r="BP22" i="6" s="1"/>
  <c r="BQ22" i="6" s="1"/>
  <c r="AW164" i="6"/>
  <c r="AY164" i="6" s="1"/>
  <c r="BA164" i="6" s="1"/>
  <c r="BJ148" i="6"/>
  <c r="BL148" i="6" s="1"/>
  <c r="BN148" i="6" s="1"/>
  <c r="BP148" i="6" s="1"/>
  <c r="BQ148" i="6" s="1"/>
  <c r="BH128" i="6"/>
  <c r="AC128" i="6" s="1"/>
  <c r="AW68" i="6"/>
  <c r="AY68" i="6" s="1"/>
  <c r="BA68" i="6" s="1"/>
  <c r="BH48" i="6"/>
  <c r="AC48" i="6" s="1"/>
  <c r="AV163" i="6"/>
  <c r="AX163" i="6" s="1"/>
  <c r="AZ163" i="6" s="1"/>
  <c r="AV119" i="6"/>
  <c r="AX119" i="6" s="1"/>
  <c r="AZ119" i="6" s="1"/>
  <c r="BH103" i="6"/>
  <c r="AC103" i="6" s="1"/>
  <c r="AV83" i="6"/>
  <c r="AX83" i="6" s="1"/>
  <c r="AZ83" i="6" s="1"/>
  <c r="AW31" i="6"/>
  <c r="AY31" i="6" s="1"/>
  <c r="BA31" i="6" s="1"/>
  <c r="AW38" i="6"/>
  <c r="AY38" i="6" s="1"/>
  <c r="BA38" i="6" s="1"/>
  <c r="AW144" i="6"/>
  <c r="AY144" i="6" s="1"/>
  <c r="BA144" i="6" s="1"/>
  <c r="AW60" i="6"/>
  <c r="AY60" i="6" s="1"/>
  <c r="BA60" i="6" s="1"/>
  <c r="BH150" i="6"/>
  <c r="AC150" i="6" s="1"/>
  <c r="AW127" i="6"/>
  <c r="AY127" i="6" s="1"/>
  <c r="BA127" i="6" s="1"/>
  <c r="BJ23" i="6"/>
  <c r="BL23" i="6" s="1"/>
  <c r="BN23" i="6" s="1"/>
  <c r="BP23" i="6" s="1"/>
  <c r="BQ23" i="6" s="1"/>
  <c r="BH158" i="6"/>
  <c r="AC158" i="6" s="1"/>
  <c r="BH102" i="6"/>
  <c r="AC102" i="6" s="1"/>
  <c r="AW66" i="6"/>
  <c r="AY66" i="6" s="1"/>
  <c r="BA66" i="6" s="1"/>
  <c r="BH157" i="6"/>
  <c r="AC157" i="6" s="1"/>
  <c r="AW149" i="6"/>
  <c r="AY149" i="6" s="1"/>
  <c r="BA149" i="6" s="1"/>
  <c r="BH101" i="6"/>
  <c r="AC101" i="6" s="1"/>
  <c r="BH81" i="6"/>
  <c r="AC81" i="6" s="1"/>
  <c r="AW77" i="6"/>
  <c r="AY77" i="6" s="1"/>
  <c r="BA77" i="6" s="1"/>
  <c r="BH182" i="6"/>
  <c r="AC182" i="6" s="1"/>
  <c r="BH130" i="6"/>
  <c r="AC130" i="6" s="1"/>
  <c r="AW118" i="6"/>
  <c r="AY118" i="6" s="1"/>
  <c r="BA118" i="6" s="1"/>
  <c r="BH164" i="6"/>
  <c r="AC164" i="6" s="1"/>
  <c r="BH108" i="6"/>
  <c r="AC108" i="6" s="1"/>
  <c r="AW100" i="6"/>
  <c r="AY100" i="6" s="1"/>
  <c r="BA100" i="6" s="1"/>
  <c r="BH56" i="6"/>
  <c r="AC56" i="6" s="1"/>
  <c r="BJ44" i="6"/>
  <c r="BL44" i="6" s="1"/>
  <c r="BN44" i="6" s="1"/>
  <c r="BP44" i="6" s="1"/>
  <c r="BQ44" i="6" s="1"/>
  <c r="BJ138" i="6"/>
  <c r="BL138" i="6" s="1"/>
  <c r="BN138" i="6" s="1"/>
  <c r="BP138" i="6" s="1"/>
  <c r="BQ138" i="6" s="1"/>
  <c r="BJ98" i="6"/>
  <c r="BL98" i="6" s="1"/>
  <c r="BN98" i="6" s="1"/>
  <c r="BP98" i="6" s="1"/>
  <c r="BQ98" i="6" s="1"/>
  <c r="BH62" i="6"/>
  <c r="AC62" i="6" s="1"/>
  <c r="AW107" i="6"/>
  <c r="AY107" i="6" s="1"/>
  <c r="BA107" i="6" s="1"/>
  <c r="AW63" i="6"/>
  <c r="AY63" i="6" s="1"/>
  <c r="BA63" i="6" s="1"/>
  <c r="AU43" i="6"/>
  <c r="X43" i="6" s="1"/>
  <c r="Y203" i="6"/>
  <c r="AW203" i="6"/>
  <c r="AW97" i="6"/>
  <c r="AY97" i="6" s="1"/>
  <c r="BA97" i="6" s="1"/>
  <c r="BH42" i="6"/>
  <c r="AC42" i="6" s="1"/>
  <c r="AW18" i="6"/>
  <c r="AY18" i="6" s="1"/>
  <c r="BA18" i="6" s="1"/>
  <c r="AW59" i="6"/>
  <c r="AY59" i="6" s="1"/>
  <c r="BA59" i="6" s="1"/>
  <c r="BH170" i="6"/>
  <c r="AC170" i="6" s="1"/>
  <c r="AU110" i="6"/>
  <c r="X110" i="6" s="1"/>
  <c r="AU137" i="6"/>
  <c r="X137" i="6" s="1"/>
  <c r="AW65" i="6"/>
  <c r="AY65" i="6" s="1"/>
  <c r="BA65" i="6" s="1"/>
  <c r="BH17" i="6"/>
  <c r="AC17" i="6" s="1"/>
  <c r="AW13" i="6"/>
  <c r="AY13" i="6" s="1"/>
  <c r="BA13" i="6" s="1"/>
  <c r="BH38" i="6"/>
  <c r="AC38" i="6" s="1"/>
  <c r="AW26" i="6"/>
  <c r="AY26" i="6" s="1"/>
  <c r="BA26" i="6" s="1"/>
  <c r="BH168" i="6"/>
  <c r="AC168" i="6" s="1"/>
  <c r="BJ144" i="6"/>
  <c r="BL144" i="6" s="1"/>
  <c r="BN144" i="6" s="1"/>
  <c r="BP144" i="6" s="1"/>
  <c r="BQ144" i="6" s="1"/>
  <c r="BJ124" i="6"/>
  <c r="BL124" i="6" s="1"/>
  <c r="BN124" i="6" s="1"/>
  <c r="BP124" i="6" s="1"/>
  <c r="BQ124" i="6" s="1"/>
  <c r="BJ88" i="6"/>
  <c r="BL88" i="6" s="1"/>
  <c r="BN88" i="6" s="1"/>
  <c r="BP88" i="6" s="1"/>
  <c r="BQ88" i="6" s="1"/>
  <c r="AV20" i="6"/>
  <c r="AX20" i="6" s="1"/>
  <c r="AZ20" i="6" s="1"/>
  <c r="Y208" i="6"/>
  <c r="AW208" i="6"/>
  <c r="AW138" i="6"/>
  <c r="AY138" i="6" s="1"/>
  <c r="BA138" i="6" s="1"/>
  <c r="AX202" i="6"/>
  <c r="AF202" i="6" s="1"/>
  <c r="BH159" i="6"/>
  <c r="AC159" i="6" s="1"/>
  <c r="BH143" i="6"/>
  <c r="AC143" i="6" s="1"/>
  <c r="BH127" i="6"/>
  <c r="AC127" i="6" s="1"/>
  <c r="AW123" i="6"/>
  <c r="AY123" i="6" s="1"/>
  <c r="BA123" i="6" s="1"/>
  <c r="BJ55" i="6"/>
  <c r="BL55" i="6" s="1"/>
  <c r="BN55" i="6" s="1"/>
  <c r="BP55" i="6" s="1"/>
  <c r="BQ55" i="6" s="1"/>
  <c r="BH19" i="6"/>
  <c r="AC19" i="6" s="1"/>
  <c r="BH110" i="6"/>
  <c r="AC110" i="6" s="1"/>
  <c r="BH78" i="6"/>
  <c r="AC78" i="6" s="1"/>
  <c r="AW54" i="6"/>
  <c r="AY54" i="6" s="1"/>
  <c r="BA54" i="6" s="1"/>
  <c r="AW85" i="6"/>
  <c r="AY85" i="6" s="1"/>
  <c r="BA85" i="6" s="1"/>
  <c r="AV30" i="6"/>
  <c r="AX30" i="6" s="1"/>
  <c r="AZ30" i="6" s="1"/>
  <c r="AW180" i="6"/>
  <c r="AY180" i="6" s="1"/>
  <c r="BA180" i="6" s="1"/>
  <c r="BH132" i="6"/>
  <c r="AC132" i="6" s="1"/>
  <c r="AU36" i="6"/>
  <c r="X36" i="6" s="1"/>
  <c r="AU174" i="6"/>
  <c r="X174" i="6" s="1"/>
  <c r="AW159" i="6"/>
  <c r="AY159" i="6" s="1"/>
  <c r="BA159" i="6" s="1"/>
  <c r="AU51" i="6"/>
  <c r="X51" i="6" s="1"/>
  <c r="AV27" i="6"/>
  <c r="AX27" i="6" s="1"/>
  <c r="AZ27" i="6" s="1"/>
  <c r="AW122" i="6"/>
  <c r="AY122" i="6" s="1"/>
  <c r="BA122" i="6" s="1"/>
  <c r="BJ50" i="6"/>
  <c r="BL50" i="6" s="1"/>
  <c r="BN50" i="6" s="1"/>
  <c r="BP50" i="6" s="1"/>
  <c r="BQ50" i="6" s="1"/>
  <c r="BJ84" i="6"/>
  <c r="BL84" i="6" s="1"/>
  <c r="BN84" i="6" s="1"/>
  <c r="BP84" i="6" s="1"/>
  <c r="BQ84" i="6" s="1"/>
  <c r="AW17" i="6"/>
  <c r="AY17" i="6" s="1"/>
  <c r="BA17" i="6" s="1"/>
  <c r="AW32" i="6"/>
  <c r="AY32" i="6" s="1"/>
  <c r="BA32" i="6" s="1"/>
  <c r="AV46" i="6"/>
  <c r="AX46" i="6" s="1"/>
  <c r="AZ46" i="6" s="1"/>
  <c r="AW37" i="6"/>
  <c r="AY37" i="6" s="1"/>
  <c r="BA37" i="6" s="1"/>
  <c r="Y205" i="6"/>
  <c r="AW205" i="6"/>
  <c r="AW94" i="6"/>
  <c r="AY94" i="6" s="1"/>
  <c r="BA94" i="6" s="1"/>
  <c r="AV34" i="6"/>
  <c r="AX34" i="6" s="1"/>
  <c r="AZ34" i="6" s="1"/>
  <c r="AV22" i="6"/>
  <c r="AX22" i="6" s="1"/>
  <c r="AZ22" i="6" s="1"/>
  <c r="AV128" i="6"/>
  <c r="AX128" i="6" s="1"/>
  <c r="AZ128" i="6" s="1"/>
  <c r="BJ208" i="6"/>
  <c r="BL208" i="6" s="1"/>
  <c r="BN208" i="6" s="1"/>
  <c r="AD208" i="6"/>
  <c r="BJ149" i="6"/>
  <c r="BL149" i="6" s="1"/>
  <c r="BN149" i="6" s="1"/>
  <c r="BP149" i="6" s="1"/>
  <c r="BQ149" i="6" s="1"/>
  <c r="AW182" i="6"/>
  <c r="AY182" i="6" s="1"/>
  <c r="BA182" i="6" s="1"/>
  <c r="BJ106" i="6"/>
  <c r="BL106" i="6" s="1"/>
  <c r="BN106" i="6" s="1"/>
  <c r="BP106" i="6" s="1"/>
  <c r="BQ106" i="6" s="1"/>
  <c r="AW23" i="6"/>
  <c r="AY23" i="6" s="1"/>
  <c r="BA23" i="6" s="1"/>
  <c r="AW133" i="6"/>
  <c r="AY133" i="6" s="1"/>
  <c r="BA133" i="6" s="1"/>
  <c r="AV101" i="6"/>
  <c r="AX101" i="6" s="1"/>
  <c r="AZ101" i="6" s="1"/>
  <c r="AW89" i="6"/>
  <c r="AY89" i="6" s="1"/>
  <c r="BA89" i="6" s="1"/>
  <c r="AX209" i="6"/>
  <c r="AF209" i="6" s="1"/>
  <c r="AW70" i="6"/>
  <c r="AY70" i="6" s="1"/>
  <c r="BA70" i="6" s="1"/>
  <c r="AW96" i="6"/>
  <c r="AY96" i="6" s="1"/>
  <c r="BA96" i="6" s="1"/>
  <c r="AW10" i="6"/>
  <c r="AX10" i="6"/>
  <c r="AZ10" i="6" s="1"/>
  <c r="AW151" i="6"/>
  <c r="AY151" i="6" s="1"/>
  <c r="BA151" i="6" s="1"/>
  <c r="BJ26" i="6"/>
  <c r="BL26" i="6" s="1"/>
  <c r="BN26" i="6" s="1"/>
  <c r="BP26" i="6" s="1"/>
  <c r="BQ26" i="6" s="1"/>
  <c r="AV152" i="6"/>
  <c r="AX152" i="6" s="1"/>
  <c r="AZ152" i="6" s="1"/>
  <c r="AV136" i="6"/>
  <c r="AX136" i="6" s="1"/>
  <c r="AZ136" i="6" s="1"/>
  <c r="AV120" i="6"/>
  <c r="AX120" i="6" s="1"/>
  <c r="AZ120" i="6" s="1"/>
  <c r="BJ162" i="6"/>
  <c r="BL162" i="6" s="1"/>
  <c r="BN162" i="6" s="1"/>
  <c r="BP162" i="6" s="1"/>
  <c r="BQ162" i="6" s="1"/>
  <c r="AW155" i="6"/>
  <c r="AY155" i="6" s="1"/>
  <c r="BA155" i="6" s="1"/>
  <c r="AW115" i="6"/>
  <c r="AY115" i="6" s="1"/>
  <c r="BA115" i="6" s="1"/>
  <c r="AV19" i="6"/>
  <c r="AX19" i="6" s="1"/>
  <c r="AZ19" i="6" s="1"/>
  <c r="AV207" i="6"/>
  <c r="AE207" i="6" s="1"/>
  <c r="AW121" i="6"/>
  <c r="AY121" i="6" s="1"/>
  <c r="BA121" i="6" s="1"/>
  <c r="AW143" i="6"/>
  <c r="AY143" i="6" s="1"/>
  <c r="BA143" i="6" s="1"/>
  <c r="AW91" i="6"/>
  <c r="AY91" i="6" s="1"/>
  <c r="BA91" i="6" s="1"/>
  <c r="AV78" i="6"/>
  <c r="AX78" i="6" s="1"/>
  <c r="AZ78" i="6" s="1"/>
  <c r="AW177" i="6"/>
  <c r="AY177" i="6" s="1"/>
  <c r="BA177" i="6" s="1"/>
  <c r="AW105" i="6"/>
  <c r="AY105" i="6" s="1"/>
  <c r="BA105" i="6" s="1"/>
  <c r="AV81" i="6"/>
  <c r="AX81" i="6" s="1"/>
  <c r="AZ81" i="6" s="1"/>
  <c r="AW69" i="6"/>
  <c r="AY69" i="6" s="1"/>
  <c r="BA69" i="6" s="1"/>
  <c r="AW53" i="6"/>
  <c r="AY53" i="6" s="1"/>
  <c r="BA53" i="6" s="1"/>
  <c r="AW29" i="6"/>
  <c r="AY29" i="6" s="1"/>
  <c r="BA29" i="6" s="1"/>
  <c r="AW130" i="6"/>
  <c r="AY130" i="6" s="1"/>
  <c r="BA130" i="6" s="1"/>
  <c r="BJ94" i="6"/>
  <c r="BL94" i="6" s="1"/>
  <c r="BN94" i="6" s="1"/>
  <c r="BP94" i="6" s="1"/>
  <c r="BQ94" i="6" s="1"/>
  <c r="BJ112" i="6"/>
  <c r="BL112" i="6" s="1"/>
  <c r="BN112" i="6" s="1"/>
  <c r="BP112" i="6" s="1"/>
  <c r="BQ112" i="6" s="1"/>
  <c r="AW72" i="6"/>
  <c r="AY72" i="6" s="1"/>
  <c r="BA72" i="6" s="1"/>
  <c r="AW44" i="6"/>
  <c r="AY44" i="6" s="1"/>
  <c r="BA44" i="6" s="1"/>
  <c r="AV204" i="6"/>
  <c r="AE204" i="6" s="1"/>
  <c r="AW162" i="6"/>
  <c r="AY162" i="6" s="1"/>
  <c r="BA162" i="6" s="1"/>
  <c r="AW98" i="6"/>
  <c r="AY98" i="6" s="1"/>
  <c r="BA98" i="6" s="1"/>
  <c r="BJ179" i="6"/>
  <c r="BL179" i="6" s="1"/>
  <c r="BN179" i="6" s="1"/>
  <c r="BP179" i="6" s="1"/>
  <c r="BQ179" i="6" s="1"/>
  <c r="AW79" i="6"/>
  <c r="AY79" i="6" s="1"/>
  <c r="BA79" i="6" s="1"/>
  <c r="BH181" i="6"/>
  <c r="AC181" i="6" s="1"/>
  <c r="AV125" i="6"/>
  <c r="AX125" i="6" s="1"/>
  <c r="AZ125" i="6" s="1"/>
  <c r="AW109" i="6"/>
  <c r="AY109" i="6" s="1"/>
  <c r="BA109" i="6" s="1"/>
  <c r="AW142" i="6"/>
  <c r="AY142" i="6" s="1"/>
  <c r="BA142" i="6" s="1"/>
  <c r="BJ175" i="6"/>
  <c r="BL175" i="6" s="1"/>
  <c r="BN175" i="6" s="1"/>
  <c r="BP175" i="6" s="1"/>
  <c r="BQ175" i="6" s="1"/>
  <c r="BJ153" i="6"/>
  <c r="BL153" i="6" s="1"/>
  <c r="BN153" i="6" s="1"/>
  <c r="BP153" i="6" s="1"/>
  <c r="BQ153" i="6" s="1"/>
  <c r="BJ86" i="6"/>
  <c r="BL86" i="6" s="1"/>
  <c r="BN86" i="6" s="1"/>
  <c r="BP86" i="6" s="1"/>
  <c r="BQ86" i="6" s="1"/>
  <c r="AW86" i="6"/>
  <c r="AY86" i="6" s="1"/>
  <c r="BA86" i="6" s="1"/>
  <c r="AW95" i="6"/>
  <c r="AY95" i="6" s="1"/>
  <c r="BA95" i="6" s="1"/>
  <c r="AW106" i="6"/>
  <c r="AY106" i="6" s="1"/>
  <c r="BA106" i="6" s="1"/>
  <c r="AW160" i="6"/>
  <c r="AY160" i="6" s="1"/>
  <c r="BA160" i="6" s="1"/>
  <c r="AW35" i="6"/>
  <c r="AY35" i="6" s="1"/>
  <c r="BA35" i="6" s="1"/>
  <c r="AW176" i="6"/>
  <c r="AY176" i="6" s="1"/>
  <c r="BA176" i="6" s="1"/>
  <c r="AW206" i="6"/>
  <c r="AX206" i="6"/>
  <c r="AF206" i="6" s="1"/>
  <c r="AW172" i="6"/>
  <c r="AY172" i="6" s="1"/>
  <c r="BA172" i="6" s="1"/>
  <c r="AW108" i="6"/>
  <c r="AY108" i="6" s="1"/>
  <c r="BA108" i="6" s="1"/>
  <c r="BJ96" i="6"/>
  <c r="BL96" i="6" s="1"/>
  <c r="BN96" i="6" s="1"/>
  <c r="BP96" i="6" s="1"/>
  <c r="BQ96" i="6" s="1"/>
  <c r="AV80" i="6"/>
  <c r="AX80" i="6" s="1"/>
  <c r="AZ80" i="6" s="1"/>
  <c r="BJ16" i="6"/>
  <c r="BL16" i="6" s="1"/>
  <c r="BN16" i="6" s="1"/>
  <c r="BP16" i="6" s="1"/>
  <c r="BQ16" i="6" s="1"/>
  <c r="AW12" i="6"/>
  <c r="AY12" i="6" s="1"/>
  <c r="BA12" i="6" s="1"/>
  <c r="AW126" i="6"/>
  <c r="AY126" i="6" s="1"/>
  <c r="BA126" i="6" s="1"/>
  <c r="AV62" i="6"/>
  <c r="AX62" i="6" s="1"/>
  <c r="AZ62" i="6" s="1"/>
  <c r="AW147" i="6"/>
  <c r="AY147" i="6" s="1"/>
  <c r="BA147" i="6" s="1"/>
  <c r="AW39" i="6"/>
  <c r="AY39" i="6" s="1"/>
  <c r="BA39" i="6" s="1"/>
  <c r="AW15" i="6"/>
  <c r="AY15" i="6" s="1"/>
  <c r="BA15" i="6" s="1"/>
  <c r="BJ70" i="6"/>
  <c r="BL70" i="6" s="1"/>
  <c r="BN70" i="6" s="1"/>
  <c r="BP70" i="6" s="1"/>
  <c r="BQ70" i="6" s="1"/>
  <c r="AW168" i="6"/>
  <c r="AY168" i="6" s="1"/>
  <c r="BA168" i="6" s="1"/>
  <c r="AW117" i="6"/>
  <c r="AY117" i="6" s="1"/>
  <c r="BA117" i="6" s="1"/>
  <c r="AW61" i="6"/>
  <c r="AY61" i="6" s="1"/>
  <c r="BA61" i="6" s="1"/>
  <c r="AW50" i="6"/>
  <c r="AY50" i="6" s="1"/>
  <c r="BA50" i="6" s="1"/>
  <c r="AV14" i="6"/>
  <c r="AX14" i="6" s="1"/>
  <c r="AZ14" i="6" s="1"/>
  <c r="AW90" i="6"/>
  <c r="AY90" i="6" s="1"/>
  <c r="BA90" i="6" s="1"/>
  <c r="AW173" i="6"/>
  <c r="AY173" i="6" s="1"/>
  <c r="BA173" i="6" s="1"/>
  <c r="AV161" i="6"/>
  <c r="AX161" i="6" s="1"/>
  <c r="AZ161" i="6" s="1"/>
  <c r="BH125" i="6"/>
  <c r="AC125" i="6" s="1"/>
  <c r="AU101" i="6"/>
  <c r="X101" i="6" s="1"/>
  <c r="BH77" i="6"/>
  <c r="AC77" i="6" s="1"/>
  <c r="AW73" i="6"/>
  <c r="AY73" i="6" s="1"/>
  <c r="BA73" i="6" s="1"/>
  <c r="AV33" i="6"/>
  <c r="AX33" i="6" s="1"/>
  <c r="AZ33" i="6" s="1"/>
  <c r="AW42" i="6"/>
  <c r="AY42" i="6" s="1"/>
  <c r="BA42" i="6" s="1"/>
  <c r="BJ152" i="6"/>
  <c r="BL152" i="6" s="1"/>
  <c r="BN152" i="6" s="1"/>
  <c r="BP152" i="6" s="1"/>
  <c r="BQ152" i="6" s="1"/>
  <c r="BJ136" i="6"/>
  <c r="BL136" i="6" s="1"/>
  <c r="BN136" i="6" s="1"/>
  <c r="BP136" i="6" s="1"/>
  <c r="BQ136" i="6" s="1"/>
  <c r="BH100" i="6"/>
  <c r="AC100" i="6" s="1"/>
  <c r="AW52" i="6"/>
  <c r="AY52" i="6" s="1"/>
  <c r="BA52" i="6" s="1"/>
  <c r="BJ40" i="6"/>
  <c r="BL40" i="6" s="1"/>
  <c r="BN40" i="6" s="1"/>
  <c r="BP40" i="6" s="1"/>
  <c r="BQ40" i="6" s="1"/>
  <c r="BJ28" i="6"/>
  <c r="BL28" i="6" s="1"/>
  <c r="BN28" i="6" s="1"/>
  <c r="BP28" i="6" s="1"/>
  <c r="BQ28" i="6" s="1"/>
  <c r="AW150" i="6"/>
  <c r="AY150" i="6" s="1"/>
  <c r="BA150" i="6" s="1"/>
  <c r="BH46" i="6"/>
  <c r="AC46" i="6" s="1"/>
  <c r="AW175" i="6"/>
  <c r="AY175" i="6" s="1"/>
  <c r="BA175" i="6" s="1"/>
  <c r="BH139" i="6"/>
  <c r="AC139" i="6" s="1"/>
  <c r="AW131" i="6"/>
  <c r="AY131" i="6" s="1"/>
  <c r="BA131" i="6" s="1"/>
  <c r="BI43" i="6"/>
  <c r="BK43" i="6" s="1"/>
  <c r="BM43" i="6" s="1"/>
  <c r="BO43" i="6" s="1"/>
  <c r="BH207" i="6"/>
  <c r="AC207" i="6" s="1"/>
  <c r="AW146" i="6"/>
  <c r="AY146" i="6" s="1"/>
  <c r="BA146" i="6" s="1"/>
  <c r="AV57" i="6"/>
  <c r="AX57" i="6" s="1"/>
  <c r="AZ57" i="6" s="1"/>
  <c r="BJ116" i="6"/>
  <c r="BL116" i="6" s="1"/>
  <c r="BN116" i="6" s="1"/>
  <c r="BP116" i="6" s="1"/>
  <c r="BQ116" i="6" s="1"/>
  <c r="AU46" i="6"/>
  <c r="X46" i="6" s="1"/>
  <c r="AV99" i="6"/>
  <c r="AX99" i="6" s="1"/>
  <c r="AZ99" i="6" s="1"/>
  <c r="AW47" i="6"/>
  <c r="AY47" i="6" s="1"/>
  <c r="BA47" i="6" s="1"/>
  <c r="BH134" i="6"/>
  <c r="AC134" i="6" s="1"/>
  <c r="AV145" i="6"/>
  <c r="AX145" i="6" s="1"/>
  <c r="AZ145" i="6" s="1"/>
  <c r="BH105" i="6"/>
  <c r="AC105" i="6" s="1"/>
  <c r="BH93" i="6"/>
  <c r="AC93" i="6" s="1"/>
  <c r="BH53" i="6"/>
  <c r="AC53" i="6" s="1"/>
  <c r="AW49" i="6"/>
  <c r="AY49" i="6" s="1"/>
  <c r="BA49" i="6" s="1"/>
  <c r="AW25" i="6"/>
  <c r="AY25" i="6" s="1"/>
  <c r="BA25" i="6" s="1"/>
  <c r="AX205" i="6"/>
  <c r="AF205" i="6" s="1"/>
  <c r="BH154" i="6"/>
  <c r="AC154" i="6" s="1"/>
  <c r="AW82" i="6"/>
  <c r="AY82" i="6" s="1"/>
  <c r="BA82" i="6" s="1"/>
  <c r="AU34" i="6"/>
  <c r="X34" i="6" s="1"/>
  <c r="AU22" i="6"/>
  <c r="X22" i="6" s="1"/>
  <c r="BH176" i="6"/>
  <c r="AC176" i="6" s="1"/>
  <c r="AU128" i="6"/>
  <c r="X128" i="6" s="1"/>
  <c r="AU112" i="6"/>
  <c r="X112" i="6" s="1"/>
  <c r="AW84" i="6"/>
  <c r="AY84" i="6" s="1"/>
  <c r="BA84" i="6" s="1"/>
  <c r="BJ52" i="6"/>
  <c r="BL52" i="6" s="1"/>
  <c r="BN52" i="6" s="1"/>
  <c r="BP52" i="6" s="1"/>
  <c r="BQ52" i="6" s="1"/>
  <c r="AW28" i="6"/>
  <c r="AY28" i="6" s="1"/>
  <c r="BA28" i="6" s="1"/>
  <c r="AV16" i="6"/>
  <c r="AX16" i="6" s="1"/>
  <c r="AZ16" i="6" s="1"/>
  <c r="BJ126" i="6"/>
  <c r="BL126" i="6" s="1"/>
  <c r="BN126" i="6" s="1"/>
  <c r="BP126" i="6" s="1"/>
  <c r="BQ126" i="6" s="1"/>
  <c r="BH202" i="6"/>
  <c r="AC202" i="6" s="1"/>
  <c r="AW179" i="6"/>
  <c r="AY179" i="6" s="1"/>
  <c r="BA179" i="6" s="1"/>
  <c r="AW139" i="6"/>
  <c r="AY139" i="6" s="1"/>
  <c r="BA139" i="6" s="1"/>
  <c r="AW87" i="6"/>
  <c r="AY87" i="6" s="1"/>
  <c r="BA87" i="6" s="1"/>
  <c r="BH31" i="6"/>
  <c r="AC31" i="6" s="1"/>
  <c r="AW153" i="6"/>
  <c r="AY153" i="6" s="1"/>
  <c r="BA153" i="6" s="1"/>
  <c r="AW124" i="6"/>
  <c r="AY124" i="6" s="1"/>
  <c r="BA124" i="6" s="1"/>
  <c r="AW24" i="6"/>
  <c r="AY24" i="6" s="1"/>
  <c r="BA24" i="6" s="1"/>
  <c r="AW171" i="6"/>
  <c r="AY171" i="6" s="1"/>
  <c r="BA171" i="6" s="1"/>
  <c r="BH119" i="6"/>
  <c r="AC119" i="6" s="1"/>
  <c r="AW111" i="6"/>
  <c r="AY111" i="6" s="1"/>
  <c r="BA111" i="6" s="1"/>
  <c r="BH146" i="6"/>
  <c r="AC146" i="6" s="1"/>
  <c r="AW134" i="6"/>
  <c r="AY134" i="6" s="1"/>
  <c r="BA134" i="6" s="1"/>
  <c r="BH54" i="6"/>
  <c r="AC54" i="6" s="1"/>
  <c r="AW181" i="6"/>
  <c r="AY181" i="6" s="1"/>
  <c r="BA181" i="6" s="1"/>
  <c r="BH169" i="6"/>
  <c r="AC169" i="6" s="1"/>
  <c r="AW157" i="6"/>
  <c r="AY157" i="6" s="1"/>
  <c r="BA157" i="6" s="1"/>
  <c r="AV141" i="6"/>
  <c r="AX141" i="6" s="1"/>
  <c r="AZ141" i="6" s="1"/>
  <c r="AV129" i="6"/>
  <c r="AX129" i="6" s="1"/>
  <c r="AZ129" i="6" s="1"/>
  <c r="BH97" i="6"/>
  <c r="AC97" i="6" s="1"/>
  <c r="AW93" i="6"/>
  <c r="AY93" i="6" s="1"/>
  <c r="BA93" i="6" s="1"/>
  <c r="AU81" i="6"/>
  <c r="X81" i="6" s="1"/>
  <c r="BH45" i="6"/>
  <c r="AC45" i="6" s="1"/>
  <c r="AW41" i="6"/>
  <c r="AY41" i="6" s="1"/>
  <c r="BA41" i="6" s="1"/>
  <c r="BH25" i="6"/>
  <c r="AC25" i="6" s="1"/>
  <c r="AW154" i="6"/>
  <c r="AY154" i="6" s="1"/>
  <c r="BA154" i="6" s="1"/>
  <c r="BH58" i="6"/>
  <c r="AC58" i="6" s="1"/>
  <c r="BJ18" i="6"/>
  <c r="BL18" i="6" s="1"/>
  <c r="BN18" i="6" s="1"/>
  <c r="BP18" i="6" s="1"/>
  <c r="BQ18" i="6" s="1"/>
  <c r="BH160" i="6"/>
  <c r="AC160" i="6" s="1"/>
  <c r="AW156" i="6"/>
  <c r="AY156" i="6" s="1"/>
  <c r="BA156" i="6" s="1"/>
  <c r="AW132" i="6"/>
  <c r="AY132" i="6" s="1"/>
  <c r="BA132" i="6" s="1"/>
  <c r="AV104" i="6"/>
  <c r="AX104" i="6" s="1"/>
  <c r="AZ104" i="6" s="1"/>
  <c r="AW92" i="6"/>
  <c r="AY92" i="6" s="1"/>
  <c r="BA92" i="6" s="1"/>
  <c r="BH60" i="6"/>
  <c r="AC60" i="6" s="1"/>
  <c r="AW56" i="6"/>
  <c r="AY56" i="6" s="1"/>
  <c r="BA56" i="6" s="1"/>
  <c r="BH32" i="6"/>
  <c r="AC32" i="6" s="1"/>
  <c r="AX208" i="6"/>
  <c r="AF208" i="6" s="1"/>
  <c r="AU204" i="6"/>
  <c r="X204" i="6" s="1"/>
  <c r="Y202" i="6"/>
  <c r="AW202" i="6"/>
  <c r="BH115" i="6"/>
  <c r="AC115" i="6" s="1"/>
  <c r="BH71" i="6"/>
  <c r="AC71" i="6" s="1"/>
  <c r="AW67" i="6"/>
  <c r="AY67" i="6" s="1"/>
  <c r="BA67" i="6" s="1"/>
  <c r="BH11" i="6"/>
  <c r="AC11" i="6" s="1"/>
  <c r="BH122" i="6"/>
  <c r="AC122" i="6" s="1"/>
  <c r="AV169" i="6"/>
  <c r="AX169" i="6" s="1"/>
  <c r="AZ169" i="6" s="1"/>
  <c r="AU125" i="6"/>
  <c r="X125" i="6" s="1"/>
  <c r="AW21" i="6"/>
  <c r="AY21" i="6" s="1"/>
  <c r="BA21" i="6" s="1"/>
  <c r="AU58" i="6"/>
  <c r="X58" i="6" s="1"/>
  <c r="BH104" i="6"/>
  <c r="AC104" i="6" s="1"/>
  <c r="AW76" i="6"/>
  <c r="AY76" i="6" s="1"/>
  <c r="BA76" i="6" s="1"/>
  <c r="AW103" i="6"/>
  <c r="AY103" i="6" s="1"/>
  <c r="BA103" i="6" s="1"/>
  <c r="AV11" i="6"/>
  <c r="AX11" i="6" s="1"/>
  <c r="AZ11" i="6" s="1"/>
  <c r="D244" i="5"/>
  <c r="BJ35" i="6" l="1"/>
  <c r="BL35" i="6" s="1"/>
  <c r="BN35" i="6" s="1"/>
  <c r="BP35" i="6" s="1"/>
  <c r="BQ35" i="6" s="1"/>
  <c r="BJ91" i="6"/>
  <c r="BL91" i="6" s="1"/>
  <c r="BN91" i="6" s="1"/>
  <c r="BP91" i="6" s="1"/>
  <c r="BQ91" i="6" s="1"/>
  <c r="BJ111" i="6"/>
  <c r="BL111" i="6" s="1"/>
  <c r="BN111" i="6" s="1"/>
  <c r="BP111" i="6" s="1"/>
  <c r="BQ111" i="6" s="1"/>
  <c r="BJ87" i="6"/>
  <c r="BL87" i="6" s="1"/>
  <c r="BN87" i="6" s="1"/>
  <c r="BP87" i="6" s="1"/>
  <c r="BQ87" i="6" s="1"/>
  <c r="D13" i="5"/>
  <c r="D246" i="5"/>
  <c r="B246" i="5" s="1"/>
  <c r="BB77" i="6"/>
  <c r="BC77" i="6" s="1"/>
  <c r="BD77" i="6" s="1"/>
  <c r="BB21" i="6"/>
  <c r="BC21" i="6" s="1"/>
  <c r="BD21" i="6" s="1"/>
  <c r="BB93" i="6"/>
  <c r="BC93" i="6" s="1"/>
  <c r="BD93" i="6" s="1"/>
  <c r="BB134" i="6"/>
  <c r="BC134" i="6" s="1"/>
  <c r="BD134" i="6" s="1"/>
  <c r="BB171" i="6"/>
  <c r="BC171" i="6" s="1"/>
  <c r="BD171" i="6" s="1"/>
  <c r="BB28" i="6"/>
  <c r="BC28" i="6" s="1"/>
  <c r="BD28" i="6" s="1"/>
  <c r="BB82" i="6"/>
  <c r="BC82" i="6" s="1"/>
  <c r="BD82" i="6" s="1"/>
  <c r="BB131" i="6"/>
  <c r="BC131" i="6" s="1"/>
  <c r="BD131" i="6" s="1"/>
  <c r="BB150" i="6"/>
  <c r="BC150" i="6" s="1"/>
  <c r="BD150" i="6" s="1"/>
  <c r="BB126" i="6"/>
  <c r="BC126" i="6" s="1"/>
  <c r="BD126" i="6" s="1"/>
  <c r="BB160" i="6"/>
  <c r="BC160" i="6" s="1"/>
  <c r="BD160" i="6" s="1"/>
  <c r="BB79" i="6"/>
  <c r="BC79" i="6" s="1"/>
  <c r="BD79" i="6" s="1"/>
  <c r="BB162" i="6"/>
  <c r="BC162" i="6" s="1"/>
  <c r="BD162" i="6" s="1"/>
  <c r="BB53" i="6"/>
  <c r="BC53" i="6" s="1"/>
  <c r="BD53" i="6" s="1"/>
  <c r="BB177" i="6"/>
  <c r="BC177" i="6" s="1"/>
  <c r="BD177" i="6" s="1"/>
  <c r="BB151" i="6"/>
  <c r="BC151" i="6" s="1"/>
  <c r="BD151" i="6" s="1"/>
  <c r="BB17" i="6"/>
  <c r="BC17" i="6" s="1"/>
  <c r="BD17" i="6" s="1"/>
  <c r="BB13" i="6"/>
  <c r="BC13" i="6" s="1"/>
  <c r="BD13" i="6" s="1"/>
  <c r="BB158" i="6"/>
  <c r="BC158" i="6" s="1"/>
  <c r="BD158" i="6" s="1"/>
  <c r="BB148" i="6"/>
  <c r="BC148" i="6" s="1"/>
  <c r="BD148" i="6" s="1"/>
  <c r="BB116" i="6"/>
  <c r="BC116" i="6" s="1"/>
  <c r="BD116" i="6" s="1"/>
  <c r="BB87" i="6"/>
  <c r="BC87" i="6" s="1"/>
  <c r="BD87" i="6" s="1"/>
  <c r="BB15" i="6"/>
  <c r="BC15" i="6" s="1"/>
  <c r="BD15" i="6" s="1"/>
  <c r="BB12" i="6"/>
  <c r="BC12" i="6" s="1"/>
  <c r="BD12" i="6" s="1"/>
  <c r="BB106" i="6"/>
  <c r="BC106" i="6" s="1"/>
  <c r="BD106" i="6" s="1"/>
  <c r="BB109" i="6"/>
  <c r="BC109" i="6" s="1"/>
  <c r="BD109" i="6" s="1"/>
  <c r="BB69" i="6"/>
  <c r="BC69" i="6" s="1"/>
  <c r="BD69" i="6" s="1"/>
  <c r="BB121" i="6"/>
  <c r="BC121" i="6" s="1"/>
  <c r="BD121" i="6" s="1"/>
  <c r="BB133" i="6"/>
  <c r="BC133" i="6" s="1"/>
  <c r="BD133" i="6" s="1"/>
  <c r="BB94" i="6"/>
  <c r="BC94" i="6" s="1"/>
  <c r="BD94" i="6" s="1"/>
  <c r="BB18" i="6"/>
  <c r="BC18" i="6" s="1"/>
  <c r="BD18" i="6" s="1"/>
  <c r="BB88" i="6"/>
  <c r="BC88" i="6" s="1"/>
  <c r="BD88" i="6" s="1"/>
  <c r="BB165" i="6"/>
  <c r="BC165" i="6" s="1"/>
  <c r="BD165" i="6" s="1"/>
  <c r="BB64" i="6"/>
  <c r="BC64" i="6" s="1"/>
  <c r="BD64" i="6" s="1"/>
  <c r="X207" i="6"/>
  <c r="Y207" i="6" s="1"/>
  <c r="BB67" i="6"/>
  <c r="BC67" i="6" s="1"/>
  <c r="BD67" i="6" s="1"/>
  <c r="BB56" i="6"/>
  <c r="BC56" i="6" s="1"/>
  <c r="BD56" i="6" s="1"/>
  <c r="BB132" i="6"/>
  <c r="BC132" i="6" s="1"/>
  <c r="BD132" i="6" s="1"/>
  <c r="BB181" i="6"/>
  <c r="BC181" i="6" s="1"/>
  <c r="BD181" i="6" s="1"/>
  <c r="BB111" i="6"/>
  <c r="BC111" i="6" s="1"/>
  <c r="BD111" i="6" s="1"/>
  <c r="BB124" i="6"/>
  <c r="BC124" i="6" s="1"/>
  <c r="BD124" i="6" s="1"/>
  <c r="BB139" i="6"/>
  <c r="BC139" i="6" s="1"/>
  <c r="BD139" i="6" s="1"/>
  <c r="BB84" i="6"/>
  <c r="BC84" i="6" s="1"/>
  <c r="BD84" i="6" s="1"/>
  <c r="BB175" i="6"/>
  <c r="BC175" i="6" s="1"/>
  <c r="BD175" i="6" s="1"/>
  <c r="BB73" i="6"/>
  <c r="BC73" i="6" s="1"/>
  <c r="BD73" i="6" s="1"/>
  <c r="BB117" i="6"/>
  <c r="BC117" i="6" s="1"/>
  <c r="BD117" i="6" s="1"/>
  <c r="BJ27" i="6"/>
  <c r="BL27" i="6" s="1"/>
  <c r="BN27" i="6" s="1"/>
  <c r="BP27" i="6" s="1"/>
  <c r="BQ27" i="6" s="1"/>
  <c r="BB147" i="6"/>
  <c r="BC147" i="6" s="1"/>
  <c r="BD147" i="6" s="1"/>
  <c r="BJ120" i="6"/>
  <c r="BL120" i="6" s="1"/>
  <c r="BN120" i="6" s="1"/>
  <c r="BP120" i="6" s="1"/>
  <c r="BQ120" i="6" s="1"/>
  <c r="BB176" i="6"/>
  <c r="BC176" i="6" s="1"/>
  <c r="BD176" i="6" s="1"/>
  <c r="BB95" i="6"/>
  <c r="BC95" i="6" s="1"/>
  <c r="BD95" i="6" s="1"/>
  <c r="BB44" i="6"/>
  <c r="BC44" i="6" s="1"/>
  <c r="BD44" i="6" s="1"/>
  <c r="BB130" i="6"/>
  <c r="BC130" i="6" s="1"/>
  <c r="BD130" i="6" s="1"/>
  <c r="BB91" i="6"/>
  <c r="BC91" i="6" s="1"/>
  <c r="BD91" i="6" s="1"/>
  <c r="BB155" i="6"/>
  <c r="BC155" i="6" s="1"/>
  <c r="BD155" i="6" s="1"/>
  <c r="BB23" i="6"/>
  <c r="BC23" i="6" s="1"/>
  <c r="BD23" i="6" s="1"/>
  <c r="BB85" i="6"/>
  <c r="BC85" i="6" s="1"/>
  <c r="BD85" i="6" s="1"/>
  <c r="BB26" i="6"/>
  <c r="BC26" i="6" s="1"/>
  <c r="BD26" i="6" s="1"/>
  <c r="BB100" i="6"/>
  <c r="BC100" i="6" s="1"/>
  <c r="BD100" i="6" s="1"/>
  <c r="BB31" i="6"/>
  <c r="BC31" i="6" s="1"/>
  <c r="BD31" i="6" s="1"/>
  <c r="BB45" i="6"/>
  <c r="BC45" i="6" s="1"/>
  <c r="BD45" i="6" s="1"/>
  <c r="BB167" i="6"/>
  <c r="BC167" i="6" s="1"/>
  <c r="BD167" i="6" s="1"/>
  <c r="BB48" i="6"/>
  <c r="BC48" i="6" s="1"/>
  <c r="BD48" i="6" s="1"/>
  <c r="BB55" i="6"/>
  <c r="BC55" i="6" s="1"/>
  <c r="BD55" i="6" s="1"/>
  <c r="BB178" i="6"/>
  <c r="BC178" i="6" s="1"/>
  <c r="BD178" i="6" s="1"/>
  <c r="BB103" i="6"/>
  <c r="BC103" i="6" s="1"/>
  <c r="BD103" i="6" s="1"/>
  <c r="BB92" i="6"/>
  <c r="BC92" i="6" s="1"/>
  <c r="BD92" i="6" s="1"/>
  <c r="BB157" i="6"/>
  <c r="BC157" i="6" s="1"/>
  <c r="BD157" i="6" s="1"/>
  <c r="BB146" i="6"/>
  <c r="BC146" i="6" s="1"/>
  <c r="BD146" i="6" s="1"/>
  <c r="BB90" i="6"/>
  <c r="BC90" i="6" s="1"/>
  <c r="BD90" i="6" s="1"/>
  <c r="BB96" i="6"/>
  <c r="BC96" i="6" s="1"/>
  <c r="BD96" i="6" s="1"/>
  <c r="BB182" i="6"/>
  <c r="BC182" i="6" s="1"/>
  <c r="BD182" i="6" s="1"/>
  <c r="BB37" i="6"/>
  <c r="BC37" i="6" s="1"/>
  <c r="BD37" i="6" s="1"/>
  <c r="BB123" i="6"/>
  <c r="BC123" i="6" s="1"/>
  <c r="BD123" i="6" s="1"/>
  <c r="BB107" i="6"/>
  <c r="BC107" i="6" s="1"/>
  <c r="BD107" i="6" s="1"/>
  <c r="BB144" i="6"/>
  <c r="BC144" i="6" s="1"/>
  <c r="BD144" i="6" s="1"/>
  <c r="BB68" i="6"/>
  <c r="BC68" i="6" s="1"/>
  <c r="BD68" i="6" s="1"/>
  <c r="BB114" i="6"/>
  <c r="BC114" i="6" s="1"/>
  <c r="BD114" i="6" s="1"/>
  <c r="BB40" i="6"/>
  <c r="BC40" i="6" s="1"/>
  <c r="BD40" i="6" s="1"/>
  <c r="BB76" i="6"/>
  <c r="BC76" i="6" s="1"/>
  <c r="BD76" i="6" s="1"/>
  <c r="BB41" i="6"/>
  <c r="BC41" i="6" s="1"/>
  <c r="BD41" i="6" s="1"/>
  <c r="BB24" i="6"/>
  <c r="BC24" i="6" s="1"/>
  <c r="BD24" i="6" s="1"/>
  <c r="BB49" i="6"/>
  <c r="BC49" i="6" s="1"/>
  <c r="BD49" i="6" s="1"/>
  <c r="BB61" i="6"/>
  <c r="BC61" i="6" s="1"/>
  <c r="BD61" i="6" s="1"/>
  <c r="BB108" i="6"/>
  <c r="BC108" i="6" s="1"/>
  <c r="BD108" i="6" s="1"/>
  <c r="BB115" i="6"/>
  <c r="BC115" i="6" s="1"/>
  <c r="BD115" i="6" s="1"/>
  <c r="BB70" i="6"/>
  <c r="BC70" i="6" s="1"/>
  <c r="BD70" i="6" s="1"/>
  <c r="BB138" i="6"/>
  <c r="BC138" i="6" s="1"/>
  <c r="BD138" i="6" s="1"/>
  <c r="BB118" i="6"/>
  <c r="BC118" i="6" s="1"/>
  <c r="BD118" i="6" s="1"/>
  <c r="BB66" i="6"/>
  <c r="BC66" i="6" s="1"/>
  <c r="BD66" i="6" s="1"/>
  <c r="BB127" i="6"/>
  <c r="BC127" i="6" s="1"/>
  <c r="BD127" i="6" s="1"/>
  <c r="BB38" i="6"/>
  <c r="BC38" i="6" s="1"/>
  <c r="BD38" i="6" s="1"/>
  <c r="BB113" i="6"/>
  <c r="BC113" i="6" s="1"/>
  <c r="BD113" i="6" s="1"/>
  <c r="BB140" i="6"/>
  <c r="BC140" i="6" s="1"/>
  <c r="BD140" i="6" s="1"/>
  <c r="BB74" i="6"/>
  <c r="BC74" i="6" s="1"/>
  <c r="BD74" i="6" s="1"/>
  <c r="BB156" i="6"/>
  <c r="BC156" i="6" s="1"/>
  <c r="BD156" i="6" s="1"/>
  <c r="BB154" i="6"/>
  <c r="BC154" i="6" s="1"/>
  <c r="BD154" i="6" s="1"/>
  <c r="BB153" i="6"/>
  <c r="BC153" i="6" s="1"/>
  <c r="BD153" i="6" s="1"/>
  <c r="BB179" i="6"/>
  <c r="BC179" i="6" s="1"/>
  <c r="BD179" i="6" s="1"/>
  <c r="BB25" i="6"/>
  <c r="BC25" i="6" s="1"/>
  <c r="BD25" i="6" s="1"/>
  <c r="BB47" i="6"/>
  <c r="BC47" i="6" s="1"/>
  <c r="BD47" i="6" s="1"/>
  <c r="BB52" i="6"/>
  <c r="BC52" i="6" s="1"/>
  <c r="BD52" i="6" s="1"/>
  <c r="BB42" i="6"/>
  <c r="BC42" i="6" s="1"/>
  <c r="BD42" i="6" s="1"/>
  <c r="BB173" i="6"/>
  <c r="BC173" i="6" s="1"/>
  <c r="BD173" i="6" s="1"/>
  <c r="BB50" i="6"/>
  <c r="BC50" i="6" s="1"/>
  <c r="BD50" i="6" s="1"/>
  <c r="BB168" i="6"/>
  <c r="BC168" i="6" s="1"/>
  <c r="BD168" i="6" s="1"/>
  <c r="BB39" i="6"/>
  <c r="BC39" i="6" s="1"/>
  <c r="BD39" i="6" s="1"/>
  <c r="BB172" i="6"/>
  <c r="BC172" i="6" s="1"/>
  <c r="BD172" i="6" s="1"/>
  <c r="BB35" i="6"/>
  <c r="BC35" i="6" s="1"/>
  <c r="BD35" i="6" s="1"/>
  <c r="BB86" i="6"/>
  <c r="BC86" i="6" s="1"/>
  <c r="BD86" i="6" s="1"/>
  <c r="BB142" i="6"/>
  <c r="BC142" i="6" s="1"/>
  <c r="BD142" i="6" s="1"/>
  <c r="BB98" i="6"/>
  <c r="BC98" i="6" s="1"/>
  <c r="BD98" i="6" s="1"/>
  <c r="BB72" i="6"/>
  <c r="BC72" i="6" s="1"/>
  <c r="BD72" i="6" s="1"/>
  <c r="BB29" i="6"/>
  <c r="BC29" i="6" s="1"/>
  <c r="BD29" i="6" s="1"/>
  <c r="BB105" i="6"/>
  <c r="BC105" i="6" s="1"/>
  <c r="BD105" i="6" s="1"/>
  <c r="BB143" i="6"/>
  <c r="BC143" i="6" s="1"/>
  <c r="BD143" i="6" s="1"/>
  <c r="BB89" i="6"/>
  <c r="BC89" i="6" s="1"/>
  <c r="BD89" i="6" s="1"/>
  <c r="BO208" i="6"/>
  <c r="BP208" i="6" s="1"/>
  <c r="BQ208" i="6" s="1"/>
  <c r="BB32" i="6"/>
  <c r="BC32" i="6" s="1"/>
  <c r="BD32" i="6" s="1"/>
  <c r="BB122" i="6"/>
  <c r="BC122" i="6" s="1"/>
  <c r="BD122" i="6" s="1"/>
  <c r="BB159" i="6"/>
  <c r="BC159" i="6" s="1"/>
  <c r="BD159" i="6" s="1"/>
  <c r="BB180" i="6"/>
  <c r="BC180" i="6" s="1"/>
  <c r="BD180" i="6" s="1"/>
  <c r="BB54" i="6"/>
  <c r="BC54" i="6" s="1"/>
  <c r="BD54" i="6" s="1"/>
  <c r="BB65" i="6"/>
  <c r="BC65" i="6" s="1"/>
  <c r="BD65" i="6" s="1"/>
  <c r="BB59" i="6"/>
  <c r="BC59" i="6" s="1"/>
  <c r="BD59" i="6" s="1"/>
  <c r="BB97" i="6"/>
  <c r="BC97" i="6" s="1"/>
  <c r="BD97" i="6" s="1"/>
  <c r="BB63" i="6"/>
  <c r="BC63" i="6" s="1"/>
  <c r="BD63" i="6" s="1"/>
  <c r="BB149" i="6"/>
  <c r="BC149" i="6" s="1"/>
  <c r="BD149" i="6" s="1"/>
  <c r="BB60" i="6"/>
  <c r="BC60" i="6" s="1"/>
  <c r="BD60" i="6" s="1"/>
  <c r="BB164" i="6"/>
  <c r="BC164" i="6" s="1"/>
  <c r="BD164" i="6" s="1"/>
  <c r="BB166" i="6"/>
  <c r="BC166" i="6" s="1"/>
  <c r="BD166" i="6" s="1"/>
  <c r="BB135" i="6"/>
  <c r="BC135" i="6" s="1"/>
  <c r="BD135" i="6" s="1"/>
  <c r="BB102" i="6"/>
  <c r="BC102" i="6" s="1"/>
  <c r="BD102" i="6" s="1"/>
  <c r="BB170" i="6"/>
  <c r="BC170" i="6" s="1"/>
  <c r="BD170" i="6" s="1"/>
  <c r="BB75" i="6"/>
  <c r="BC75" i="6" s="1"/>
  <c r="BD75" i="6" s="1"/>
  <c r="BB71" i="6"/>
  <c r="BC71" i="6" s="1"/>
  <c r="BD71" i="6" s="1"/>
  <c r="BJ123" i="6"/>
  <c r="BL123" i="6" s="1"/>
  <c r="BN123" i="6" s="1"/>
  <c r="BP123" i="6" s="1"/>
  <c r="BQ123" i="6" s="1"/>
  <c r="BJ121" i="6"/>
  <c r="BL121" i="6" s="1"/>
  <c r="BN121" i="6" s="1"/>
  <c r="BP121" i="6" s="1"/>
  <c r="BQ121" i="6" s="1"/>
  <c r="BJ109" i="6"/>
  <c r="BL109" i="6" s="1"/>
  <c r="BN109" i="6" s="1"/>
  <c r="BP109" i="6" s="1"/>
  <c r="BQ109" i="6" s="1"/>
  <c r="BJ166" i="6"/>
  <c r="BL166" i="6" s="1"/>
  <c r="BN166" i="6" s="1"/>
  <c r="BP166" i="6" s="1"/>
  <c r="BQ166" i="6" s="1"/>
  <c r="BJ41" i="6"/>
  <c r="BL41" i="6" s="1"/>
  <c r="BN41" i="6" s="1"/>
  <c r="BP41" i="6" s="1"/>
  <c r="BQ41" i="6" s="1"/>
  <c r="BJ89" i="6"/>
  <c r="BL89" i="6" s="1"/>
  <c r="BN89" i="6" s="1"/>
  <c r="BP89" i="6" s="1"/>
  <c r="BQ89" i="6" s="1"/>
  <c r="BJ30" i="6"/>
  <c r="BL30" i="6" s="1"/>
  <c r="BN30" i="6" s="1"/>
  <c r="BP30" i="6" s="1"/>
  <c r="BQ30" i="6" s="1"/>
  <c r="BJ73" i="6"/>
  <c r="BL73" i="6" s="1"/>
  <c r="BN73" i="6" s="1"/>
  <c r="BP73" i="6" s="1"/>
  <c r="BQ73" i="6" s="1"/>
  <c r="BJ63" i="6"/>
  <c r="BL63" i="6" s="1"/>
  <c r="BN63" i="6" s="1"/>
  <c r="BP63" i="6" s="1"/>
  <c r="BQ63" i="6" s="1"/>
  <c r="BJ99" i="6"/>
  <c r="BL99" i="6" s="1"/>
  <c r="BN99" i="6" s="1"/>
  <c r="BP99" i="6" s="1"/>
  <c r="BQ99" i="6" s="1"/>
  <c r="BJ163" i="6"/>
  <c r="BL163" i="6" s="1"/>
  <c r="BN163" i="6" s="1"/>
  <c r="BP163" i="6" s="1"/>
  <c r="BQ163" i="6" s="1"/>
  <c r="BJ14" i="6"/>
  <c r="BL14" i="6" s="1"/>
  <c r="BN14" i="6" s="1"/>
  <c r="BP14" i="6" s="1"/>
  <c r="BQ14" i="6" s="1"/>
  <c r="BJ85" i="6"/>
  <c r="BL85" i="6" s="1"/>
  <c r="BN85" i="6" s="1"/>
  <c r="BP85" i="6" s="1"/>
  <c r="BQ85" i="6" s="1"/>
  <c r="BJ113" i="6"/>
  <c r="BL113" i="6" s="1"/>
  <c r="BN113" i="6" s="1"/>
  <c r="BP113" i="6" s="1"/>
  <c r="BQ113" i="6" s="1"/>
  <c r="BJ61" i="6"/>
  <c r="BL61" i="6" s="1"/>
  <c r="BN61" i="6" s="1"/>
  <c r="BP61" i="6" s="1"/>
  <c r="BQ61" i="6" s="1"/>
  <c r="BJ65" i="6"/>
  <c r="BL65" i="6" s="1"/>
  <c r="BN65" i="6" s="1"/>
  <c r="BP65" i="6" s="1"/>
  <c r="BQ65" i="6" s="1"/>
  <c r="BJ180" i="6"/>
  <c r="BL180" i="6" s="1"/>
  <c r="BN180" i="6" s="1"/>
  <c r="BP180" i="6" s="1"/>
  <c r="BQ180" i="6" s="1"/>
  <c r="BJ12" i="6"/>
  <c r="BL12" i="6" s="1"/>
  <c r="BN12" i="6" s="1"/>
  <c r="BP12" i="6" s="1"/>
  <c r="BQ12" i="6" s="1"/>
  <c r="BJ76" i="6"/>
  <c r="BL76" i="6" s="1"/>
  <c r="BN76" i="6" s="1"/>
  <c r="BP76" i="6" s="1"/>
  <c r="BQ76" i="6" s="1"/>
  <c r="BJ83" i="6"/>
  <c r="BL83" i="6" s="1"/>
  <c r="BN83" i="6" s="1"/>
  <c r="BP83" i="6" s="1"/>
  <c r="BQ83" i="6" s="1"/>
  <c r="BJ59" i="6"/>
  <c r="BL59" i="6" s="1"/>
  <c r="BN59" i="6" s="1"/>
  <c r="BP59" i="6" s="1"/>
  <c r="BQ59" i="6" s="1"/>
  <c r="BJ80" i="6"/>
  <c r="BL80" i="6" s="1"/>
  <c r="BN80" i="6" s="1"/>
  <c r="BP80" i="6" s="1"/>
  <c r="BQ80" i="6" s="1"/>
  <c r="BJ172" i="6"/>
  <c r="BL172" i="6" s="1"/>
  <c r="BN172" i="6" s="1"/>
  <c r="BP172" i="6" s="1"/>
  <c r="BQ172" i="6" s="1"/>
  <c r="BJ174" i="6"/>
  <c r="BL174" i="6" s="1"/>
  <c r="BN174" i="6" s="1"/>
  <c r="BP174" i="6" s="1"/>
  <c r="BQ174" i="6" s="1"/>
  <c r="BJ171" i="6"/>
  <c r="BL171" i="6" s="1"/>
  <c r="BN171" i="6" s="1"/>
  <c r="BP171" i="6" s="1"/>
  <c r="BQ171" i="6" s="1"/>
  <c r="BJ151" i="6"/>
  <c r="BL151" i="6" s="1"/>
  <c r="BN151" i="6" s="1"/>
  <c r="BP151" i="6" s="1"/>
  <c r="BQ151" i="6" s="1"/>
  <c r="AC151" i="6"/>
  <c r="BJ57" i="6"/>
  <c r="BL57" i="6" s="1"/>
  <c r="BN57" i="6" s="1"/>
  <c r="BP57" i="6" s="1"/>
  <c r="BQ57" i="6" s="1"/>
  <c r="AC57" i="6"/>
  <c r="BJ142" i="6"/>
  <c r="BL142" i="6" s="1"/>
  <c r="BN142" i="6" s="1"/>
  <c r="BP142" i="6" s="1"/>
  <c r="BQ142" i="6" s="1"/>
  <c r="BJ92" i="6"/>
  <c r="BL92" i="6" s="1"/>
  <c r="BN92" i="6" s="1"/>
  <c r="BP92" i="6" s="1"/>
  <c r="BQ92" i="6" s="1"/>
  <c r="AC92" i="6"/>
  <c r="BJ131" i="6"/>
  <c r="BL131" i="6" s="1"/>
  <c r="BN131" i="6" s="1"/>
  <c r="BP131" i="6" s="1"/>
  <c r="BQ131" i="6" s="1"/>
  <c r="AC131" i="6"/>
  <c r="BJ145" i="6"/>
  <c r="BL145" i="6" s="1"/>
  <c r="BN145" i="6" s="1"/>
  <c r="BP145" i="6" s="1"/>
  <c r="BQ145" i="6" s="1"/>
  <c r="AC145" i="6"/>
  <c r="AD204" i="6"/>
  <c r="BJ37" i="6"/>
  <c r="BL37" i="6" s="1"/>
  <c r="BN37" i="6" s="1"/>
  <c r="BP37" i="6" s="1"/>
  <c r="BQ37" i="6" s="1"/>
  <c r="AC37" i="6"/>
  <c r="BJ39" i="6"/>
  <c r="BL39" i="6" s="1"/>
  <c r="BN39" i="6" s="1"/>
  <c r="BP39" i="6" s="1"/>
  <c r="BQ39" i="6" s="1"/>
  <c r="AC39" i="6"/>
  <c r="BJ137" i="6"/>
  <c r="BL137" i="6" s="1"/>
  <c r="BN137" i="6" s="1"/>
  <c r="BP137" i="6" s="1"/>
  <c r="BQ137" i="6" s="1"/>
  <c r="AC137" i="6"/>
  <c r="AD203" i="6"/>
  <c r="BJ167" i="6"/>
  <c r="BL167" i="6" s="1"/>
  <c r="BN167" i="6" s="1"/>
  <c r="BP167" i="6" s="1"/>
  <c r="BQ167" i="6" s="1"/>
  <c r="AC167" i="6"/>
  <c r="BJ51" i="6"/>
  <c r="BL51" i="6" s="1"/>
  <c r="BN51" i="6" s="1"/>
  <c r="BP51" i="6" s="1"/>
  <c r="BQ51" i="6" s="1"/>
  <c r="AC51" i="6"/>
  <c r="BJ33" i="6"/>
  <c r="BL33" i="6" s="1"/>
  <c r="BN33" i="6" s="1"/>
  <c r="BP33" i="6" s="1"/>
  <c r="BQ33" i="6" s="1"/>
  <c r="AC33" i="6"/>
  <c r="BJ161" i="6"/>
  <c r="BL161" i="6" s="1"/>
  <c r="BN161" i="6" s="1"/>
  <c r="BP161" i="6" s="1"/>
  <c r="BQ161" i="6" s="1"/>
  <c r="AC161" i="6"/>
  <c r="BJ75" i="6"/>
  <c r="BL75" i="6" s="1"/>
  <c r="BN75" i="6" s="1"/>
  <c r="BP75" i="6" s="1"/>
  <c r="BQ75" i="6" s="1"/>
  <c r="AC75" i="6"/>
  <c r="BJ95" i="6"/>
  <c r="BL95" i="6" s="1"/>
  <c r="BN95" i="6" s="1"/>
  <c r="BP95" i="6" s="1"/>
  <c r="BQ95" i="6" s="1"/>
  <c r="AC95" i="6"/>
  <c r="BJ49" i="6"/>
  <c r="BL49" i="6" s="1"/>
  <c r="BN49" i="6" s="1"/>
  <c r="BP49" i="6" s="1"/>
  <c r="BQ49" i="6" s="1"/>
  <c r="AC49" i="6"/>
  <c r="BJ29" i="6"/>
  <c r="BL29" i="6" s="1"/>
  <c r="BN29" i="6" s="1"/>
  <c r="BP29" i="6" s="1"/>
  <c r="BQ29" i="6" s="1"/>
  <c r="AC29" i="6"/>
  <c r="BJ67" i="6"/>
  <c r="BL67" i="6" s="1"/>
  <c r="BN67" i="6" s="1"/>
  <c r="BP67" i="6" s="1"/>
  <c r="BQ67" i="6" s="1"/>
  <c r="AC67" i="6"/>
  <c r="BJ165" i="6"/>
  <c r="BL165" i="6" s="1"/>
  <c r="BN165" i="6" s="1"/>
  <c r="BP165" i="6" s="1"/>
  <c r="BQ165" i="6" s="1"/>
  <c r="AC165" i="6"/>
  <c r="BJ68" i="6"/>
  <c r="BL68" i="6" s="1"/>
  <c r="BN68" i="6" s="1"/>
  <c r="BP68" i="6" s="1"/>
  <c r="BQ68" i="6" s="1"/>
  <c r="AC68" i="6"/>
  <c r="BJ13" i="6"/>
  <c r="BL13" i="6" s="1"/>
  <c r="BN13" i="6" s="1"/>
  <c r="BP13" i="6" s="1"/>
  <c r="BQ13" i="6" s="1"/>
  <c r="AC13" i="6"/>
  <c r="BJ209" i="6"/>
  <c r="BL209" i="6" s="1"/>
  <c r="BN209" i="6" s="1"/>
  <c r="AD209" i="6"/>
  <c r="BJ206" i="6"/>
  <c r="BL206" i="6" s="1"/>
  <c r="BN206" i="6" s="1"/>
  <c r="AD206" i="6"/>
  <c r="BJ69" i="6"/>
  <c r="BL69" i="6" s="1"/>
  <c r="BN69" i="6" s="1"/>
  <c r="BP69" i="6" s="1"/>
  <c r="BQ69" i="6" s="1"/>
  <c r="AC69" i="6"/>
  <c r="BJ36" i="6"/>
  <c r="BL36" i="6" s="1"/>
  <c r="BN36" i="6" s="1"/>
  <c r="BP36" i="6" s="1"/>
  <c r="BQ36" i="6" s="1"/>
  <c r="AC36" i="6"/>
  <c r="BJ155" i="6"/>
  <c r="BL155" i="6" s="1"/>
  <c r="BN155" i="6" s="1"/>
  <c r="BP155" i="6" s="1"/>
  <c r="BQ155" i="6" s="1"/>
  <c r="AC155" i="6"/>
  <c r="BJ10" i="6"/>
  <c r="BL10" i="6" s="1"/>
  <c r="BN10" i="6" s="1"/>
  <c r="BP10" i="6" s="1"/>
  <c r="BQ10" i="6" s="1"/>
  <c r="AC10" i="6"/>
  <c r="BJ82" i="6"/>
  <c r="BL82" i="6" s="1"/>
  <c r="BN82" i="6" s="1"/>
  <c r="BP82" i="6" s="1"/>
  <c r="BQ82" i="6" s="1"/>
  <c r="BJ47" i="6"/>
  <c r="BL47" i="6" s="1"/>
  <c r="BN47" i="6" s="1"/>
  <c r="BP47" i="6" s="1"/>
  <c r="BQ47" i="6" s="1"/>
  <c r="BJ204" i="6"/>
  <c r="BL204" i="6" s="1"/>
  <c r="BN204" i="6" s="1"/>
  <c r="BJ177" i="6"/>
  <c r="BL177" i="6" s="1"/>
  <c r="BN177" i="6" s="1"/>
  <c r="BP177" i="6" s="1"/>
  <c r="BQ177" i="6" s="1"/>
  <c r="AW20" i="6"/>
  <c r="AY20" i="6" s="1"/>
  <c r="BA20" i="6" s="1"/>
  <c r="BJ133" i="6"/>
  <c r="BL133" i="6" s="1"/>
  <c r="BN133" i="6" s="1"/>
  <c r="BP133" i="6" s="1"/>
  <c r="BQ133" i="6" s="1"/>
  <c r="BJ173" i="6"/>
  <c r="BL173" i="6" s="1"/>
  <c r="BN173" i="6" s="1"/>
  <c r="BP173" i="6" s="1"/>
  <c r="BQ173" i="6" s="1"/>
  <c r="BJ79" i="6"/>
  <c r="BL79" i="6" s="1"/>
  <c r="BN79" i="6" s="1"/>
  <c r="BP79" i="6" s="1"/>
  <c r="BQ79" i="6" s="1"/>
  <c r="AW30" i="6"/>
  <c r="AY30" i="6" s="1"/>
  <c r="BA30" i="6" s="1"/>
  <c r="BJ21" i="6"/>
  <c r="BL21" i="6" s="1"/>
  <c r="BN21" i="6" s="1"/>
  <c r="BP21" i="6" s="1"/>
  <c r="BQ21" i="6" s="1"/>
  <c r="BJ20" i="6"/>
  <c r="BL20" i="6" s="1"/>
  <c r="BN20" i="6" s="1"/>
  <c r="BP20" i="6" s="1"/>
  <c r="BQ20" i="6" s="1"/>
  <c r="BJ129" i="6"/>
  <c r="BL129" i="6" s="1"/>
  <c r="BN129" i="6" s="1"/>
  <c r="BP129" i="6" s="1"/>
  <c r="BQ129" i="6" s="1"/>
  <c r="BJ141" i="6"/>
  <c r="BL141" i="6" s="1"/>
  <c r="BN141" i="6" s="1"/>
  <c r="BP141" i="6" s="1"/>
  <c r="BQ141" i="6" s="1"/>
  <c r="BJ147" i="6"/>
  <c r="BL147" i="6" s="1"/>
  <c r="BN147" i="6" s="1"/>
  <c r="BP147" i="6" s="1"/>
  <c r="BQ147" i="6" s="1"/>
  <c r="BJ72" i="6"/>
  <c r="BL72" i="6" s="1"/>
  <c r="BN72" i="6" s="1"/>
  <c r="BP72" i="6" s="1"/>
  <c r="BQ72" i="6" s="1"/>
  <c r="BJ64" i="6"/>
  <c r="BL64" i="6" s="1"/>
  <c r="BN64" i="6" s="1"/>
  <c r="BP64" i="6" s="1"/>
  <c r="BQ64" i="6" s="1"/>
  <c r="BJ203" i="6"/>
  <c r="BL203" i="6" s="1"/>
  <c r="BN203" i="6" s="1"/>
  <c r="BJ107" i="6"/>
  <c r="BL107" i="6" s="1"/>
  <c r="BN107" i="6" s="1"/>
  <c r="BP107" i="6" s="1"/>
  <c r="BQ107" i="6" s="1"/>
  <c r="BJ114" i="6"/>
  <c r="BL114" i="6" s="1"/>
  <c r="BN114" i="6" s="1"/>
  <c r="BP114" i="6" s="1"/>
  <c r="BQ114" i="6" s="1"/>
  <c r="AW99" i="6"/>
  <c r="AY99" i="6" s="1"/>
  <c r="BA99" i="6" s="1"/>
  <c r="AW16" i="6"/>
  <c r="AY16" i="6" s="1"/>
  <c r="BA16" i="6" s="1"/>
  <c r="AW27" i="6"/>
  <c r="AY27" i="6" s="1"/>
  <c r="BA27" i="6" s="1"/>
  <c r="AW163" i="6"/>
  <c r="AY163" i="6" s="1"/>
  <c r="BA163" i="6" s="1"/>
  <c r="BJ169" i="6"/>
  <c r="BL169" i="6" s="1"/>
  <c r="BN169" i="6" s="1"/>
  <c r="BP169" i="6" s="1"/>
  <c r="BQ169" i="6" s="1"/>
  <c r="AW22" i="6"/>
  <c r="AY22" i="6" s="1"/>
  <c r="BA22" i="6" s="1"/>
  <c r="AZ206" i="6"/>
  <c r="AG206" i="6" s="1"/>
  <c r="AZ209" i="6"/>
  <c r="AG209" i="6" s="1"/>
  <c r="AW51" i="6"/>
  <c r="AY51" i="6" s="1"/>
  <c r="BA51" i="6" s="1"/>
  <c r="AW36" i="6"/>
  <c r="AY36" i="6" s="1"/>
  <c r="BA36" i="6" s="1"/>
  <c r="BJ78" i="6"/>
  <c r="BL78" i="6" s="1"/>
  <c r="BN78" i="6" s="1"/>
  <c r="BP78" i="6" s="1"/>
  <c r="BQ78" i="6" s="1"/>
  <c r="BJ127" i="6"/>
  <c r="BL127" i="6" s="1"/>
  <c r="BN127" i="6" s="1"/>
  <c r="BP127" i="6" s="1"/>
  <c r="BQ127" i="6" s="1"/>
  <c r="AZ202" i="6"/>
  <c r="AG202" i="6" s="1"/>
  <c r="BJ17" i="6"/>
  <c r="BL17" i="6" s="1"/>
  <c r="BN17" i="6" s="1"/>
  <c r="BP17" i="6" s="1"/>
  <c r="BQ17" i="6" s="1"/>
  <c r="AW43" i="6"/>
  <c r="AY43" i="6" s="1"/>
  <c r="BA43" i="6" s="1"/>
  <c r="BJ108" i="6"/>
  <c r="BL108" i="6" s="1"/>
  <c r="BN108" i="6" s="1"/>
  <c r="BP108" i="6" s="1"/>
  <c r="BQ108" i="6" s="1"/>
  <c r="BJ130" i="6"/>
  <c r="BL130" i="6" s="1"/>
  <c r="BN130" i="6" s="1"/>
  <c r="BP130" i="6" s="1"/>
  <c r="BQ130" i="6" s="1"/>
  <c r="BJ81" i="6"/>
  <c r="BL81" i="6" s="1"/>
  <c r="BN81" i="6" s="1"/>
  <c r="BP81" i="6" s="1"/>
  <c r="BQ81" i="6" s="1"/>
  <c r="BJ157" i="6"/>
  <c r="BL157" i="6" s="1"/>
  <c r="BN157" i="6" s="1"/>
  <c r="BP157" i="6" s="1"/>
  <c r="BQ157" i="6" s="1"/>
  <c r="AZ203" i="6"/>
  <c r="AG203" i="6" s="1"/>
  <c r="BJ104" i="6"/>
  <c r="BL104" i="6" s="1"/>
  <c r="BN104" i="6" s="1"/>
  <c r="BP104" i="6" s="1"/>
  <c r="BQ104" i="6" s="1"/>
  <c r="BJ45" i="6"/>
  <c r="BL45" i="6" s="1"/>
  <c r="BN45" i="6" s="1"/>
  <c r="BP45" i="6" s="1"/>
  <c r="BQ45" i="6" s="1"/>
  <c r="BJ97" i="6"/>
  <c r="BL97" i="6" s="1"/>
  <c r="BN97" i="6" s="1"/>
  <c r="BP97" i="6" s="1"/>
  <c r="BQ97" i="6" s="1"/>
  <c r="AW112" i="6"/>
  <c r="AY112" i="6" s="1"/>
  <c r="BA112" i="6" s="1"/>
  <c r="AW34" i="6"/>
  <c r="AY34" i="6" s="1"/>
  <c r="BA34" i="6" s="1"/>
  <c r="BJ93" i="6"/>
  <c r="BL93" i="6" s="1"/>
  <c r="BN93" i="6" s="1"/>
  <c r="BP93" i="6" s="1"/>
  <c r="BQ93" i="6" s="1"/>
  <c r="BJ125" i="6"/>
  <c r="BL125" i="6" s="1"/>
  <c r="BN125" i="6" s="1"/>
  <c r="BP125" i="6" s="1"/>
  <c r="BQ125" i="6" s="1"/>
  <c r="AY206" i="6"/>
  <c r="AW141" i="6"/>
  <c r="AY141" i="6" s="1"/>
  <c r="BA141" i="6" s="1"/>
  <c r="AY10" i="6"/>
  <c r="BA10" i="6" s="1"/>
  <c r="AW161" i="6"/>
  <c r="AY161" i="6" s="1"/>
  <c r="BA161" i="6" s="1"/>
  <c r="AW104" i="6"/>
  <c r="AY104" i="6" s="1"/>
  <c r="BA104" i="6" s="1"/>
  <c r="BJ110" i="6"/>
  <c r="BL110" i="6" s="1"/>
  <c r="BN110" i="6" s="1"/>
  <c r="BP110" i="6" s="1"/>
  <c r="BQ110" i="6" s="1"/>
  <c r="BJ143" i="6"/>
  <c r="BL143" i="6" s="1"/>
  <c r="BN143" i="6" s="1"/>
  <c r="BP143" i="6" s="1"/>
  <c r="BQ143" i="6" s="1"/>
  <c r="BJ38" i="6"/>
  <c r="BL38" i="6" s="1"/>
  <c r="BN38" i="6" s="1"/>
  <c r="BP38" i="6" s="1"/>
  <c r="BQ38" i="6" s="1"/>
  <c r="AW110" i="6"/>
  <c r="AY110" i="6" s="1"/>
  <c r="BA110" i="6" s="1"/>
  <c r="BJ56" i="6"/>
  <c r="BL56" i="6" s="1"/>
  <c r="BN56" i="6" s="1"/>
  <c r="BP56" i="6" s="1"/>
  <c r="BQ56" i="6" s="1"/>
  <c r="BJ164" i="6"/>
  <c r="BL164" i="6" s="1"/>
  <c r="BN164" i="6" s="1"/>
  <c r="BP164" i="6" s="1"/>
  <c r="BQ164" i="6" s="1"/>
  <c r="BJ182" i="6"/>
  <c r="BL182" i="6" s="1"/>
  <c r="BN182" i="6" s="1"/>
  <c r="BP182" i="6" s="1"/>
  <c r="BQ182" i="6" s="1"/>
  <c r="BJ101" i="6"/>
  <c r="BL101" i="6" s="1"/>
  <c r="BN101" i="6" s="1"/>
  <c r="BP101" i="6" s="1"/>
  <c r="BQ101" i="6" s="1"/>
  <c r="AW136" i="6"/>
  <c r="AY136" i="6" s="1"/>
  <c r="BA136" i="6" s="1"/>
  <c r="AW80" i="6"/>
  <c r="AY80" i="6" s="1"/>
  <c r="BA80" i="6" s="1"/>
  <c r="AW19" i="6"/>
  <c r="AY19" i="6" s="1"/>
  <c r="BA19" i="6" s="1"/>
  <c r="AW120" i="6"/>
  <c r="AY120" i="6" s="1"/>
  <c r="BA120" i="6" s="1"/>
  <c r="AW125" i="6"/>
  <c r="AY125" i="6" s="1"/>
  <c r="BA125" i="6" s="1"/>
  <c r="BJ154" i="6"/>
  <c r="BL154" i="6" s="1"/>
  <c r="BN154" i="6" s="1"/>
  <c r="BP154" i="6" s="1"/>
  <c r="BQ154" i="6" s="1"/>
  <c r="BJ53" i="6"/>
  <c r="BL53" i="6" s="1"/>
  <c r="BN53" i="6" s="1"/>
  <c r="BP53" i="6" s="1"/>
  <c r="BQ53" i="6" s="1"/>
  <c r="AW46" i="6"/>
  <c r="AY46" i="6" s="1"/>
  <c r="BA46" i="6" s="1"/>
  <c r="BJ139" i="6"/>
  <c r="BL139" i="6" s="1"/>
  <c r="BN139" i="6" s="1"/>
  <c r="BP139" i="6" s="1"/>
  <c r="BQ139" i="6" s="1"/>
  <c r="BJ100" i="6"/>
  <c r="BL100" i="6" s="1"/>
  <c r="BN100" i="6" s="1"/>
  <c r="BP100" i="6" s="1"/>
  <c r="BQ100" i="6" s="1"/>
  <c r="AW101" i="6"/>
  <c r="AY101" i="6" s="1"/>
  <c r="BA101" i="6" s="1"/>
  <c r="BJ43" i="6"/>
  <c r="BL43" i="6" s="1"/>
  <c r="BN43" i="6" s="1"/>
  <c r="BP43" i="6" s="1"/>
  <c r="BQ43" i="6" s="1"/>
  <c r="BJ158" i="6"/>
  <c r="BL158" i="6" s="1"/>
  <c r="BN158" i="6" s="1"/>
  <c r="BP158" i="6" s="1"/>
  <c r="BQ158" i="6" s="1"/>
  <c r="AY202" i="6"/>
  <c r="AZ208" i="6"/>
  <c r="AG208" i="6" s="1"/>
  <c r="AH208" i="6" s="1"/>
  <c r="BJ60" i="6"/>
  <c r="BL60" i="6" s="1"/>
  <c r="BN60" i="6" s="1"/>
  <c r="BP60" i="6" s="1"/>
  <c r="BQ60" i="6" s="1"/>
  <c r="BJ25" i="6"/>
  <c r="BL25" i="6" s="1"/>
  <c r="BN25" i="6" s="1"/>
  <c r="BP25" i="6" s="1"/>
  <c r="BQ25" i="6" s="1"/>
  <c r="AW81" i="6"/>
  <c r="AY81" i="6" s="1"/>
  <c r="BA81" i="6" s="1"/>
  <c r="BJ146" i="6"/>
  <c r="BL146" i="6" s="1"/>
  <c r="BN146" i="6" s="1"/>
  <c r="BP146" i="6" s="1"/>
  <c r="BQ146" i="6" s="1"/>
  <c r="BJ119" i="6"/>
  <c r="BL119" i="6" s="1"/>
  <c r="BN119" i="6" s="1"/>
  <c r="BP119" i="6" s="1"/>
  <c r="BQ119" i="6" s="1"/>
  <c r="AD202" i="6"/>
  <c r="AH202" i="6" s="1"/>
  <c r="BJ202" i="6"/>
  <c r="BL202" i="6" s="1"/>
  <c r="BN202" i="6" s="1"/>
  <c r="AW128" i="6"/>
  <c r="AY128" i="6" s="1"/>
  <c r="BA128" i="6" s="1"/>
  <c r="AZ205" i="6"/>
  <c r="AG205" i="6" s="1"/>
  <c r="BJ105" i="6"/>
  <c r="BL105" i="6" s="1"/>
  <c r="BN105" i="6" s="1"/>
  <c r="BP105" i="6" s="1"/>
  <c r="BQ105" i="6" s="1"/>
  <c r="BJ134" i="6"/>
  <c r="BL134" i="6" s="1"/>
  <c r="BN134" i="6" s="1"/>
  <c r="BP134" i="6" s="1"/>
  <c r="BQ134" i="6" s="1"/>
  <c r="AW57" i="6"/>
  <c r="AY57" i="6" s="1"/>
  <c r="BA57" i="6" s="1"/>
  <c r="AW83" i="6"/>
  <c r="AY83" i="6" s="1"/>
  <c r="BA83" i="6" s="1"/>
  <c r="AW169" i="6"/>
  <c r="AY169" i="6" s="1"/>
  <c r="BA169" i="6" s="1"/>
  <c r="AX204" i="6"/>
  <c r="AF204" i="6" s="1"/>
  <c r="AW33" i="6"/>
  <c r="AY33" i="6" s="1"/>
  <c r="BA33" i="6" s="1"/>
  <c r="AY205" i="6"/>
  <c r="BA205" i="6" s="1"/>
  <c r="BB205" i="6" s="1"/>
  <c r="AW119" i="6"/>
  <c r="AY119" i="6" s="1"/>
  <c r="BA119" i="6" s="1"/>
  <c r="BJ132" i="6"/>
  <c r="BL132" i="6" s="1"/>
  <c r="BN132" i="6" s="1"/>
  <c r="BP132" i="6" s="1"/>
  <c r="BQ132" i="6" s="1"/>
  <c r="BJ19" i="6"/>
  <c r="BL19" i="6" s="1"/>
  <c r="BN19" i="6" s="1"/>
  <c r="BP19" i="6" s="1"/>
  <c r="BQ19" i="6" s="1"/>
  <c r="BJ159" i="6"/>
  <c r="BL159" i="6" s="1"/>
  <c r="BN159" i="6" s="1"/>
  <c r="BP159" i="6" s="1"/>
  <c r="BQ159" i="6" s="1"/>
  <c r="BJ168" i="6"/>
  <c r="BL168" i="6" s="1"/>
  <c r="BN168" i="6" s="1"/>
  <c r="BP168" i="6" s="1"/>
  <c r="BQ168" i="6" s="1"/>
  <c r="AY203" i="6"/>
  <c r="BJ62" i="6"/>
  <c r="BL62" i="6" s="1"/>
  <c r="BN62" i="6" s="1"/>
  <c r="BP62" i="6" s="1"/>
  <c r="BQ62" i="6" s="1"/>
  <c r="BJ150" i="6"/>
  <c r="BL150" i="6" s="1"/>
  <c r="BN150" i="6" s="1"/>
  <c r="BP150" i="6" s="1"/>
  <c r="BQ150" i="6" s="1"/>
  <c r="BJ103" i="6"/>
  <c r="BL103" i="6" s="1"/>
  <c r="BN103" i="6" s="1"/>
  <c r="BP103" i="6" s="1"/>
  <c r="BQ103" i="6" s="1"/>
  <c r="BJ128" i="6"/>
  <c r="BL128" i="6" s="1"/>
  <c r="BN128" i="6" s="1"/>
  <c r="BP128" i="6" s="1"/>
  <c r="BQ128" i="6" s="1"/>
  <c r="BJ117" i="6"/>
  <c r="BL117" i="6" s="1"/>
  <c r="BN117" i="6" s="1"/>
  <c r="BP117" i="6" s="1"/>
  <c r="BQ117" i="6" s="1"/>
  <c r="AY209" i="6"/>
  <c r="AW152" i="6"/>
  <c r="AY152" i="6" s="1"/>
  <c r="BA152" i="6" s="1"/>
  <c r="AW14" i="6"/>
  <c r="AY14" i="6" s="1"/>
  <c r="BA14" i="6" s="1"/>
  <c r="AW78" i="6"/>
  <c r="AY78" i="6" s="1"/>
  <c r="BA78" i="6" s="1"/>
  <c r="AW62" i="6"/>
  <c r="AY62" i="6" s="1"/>
  <c r="BA62" i="6" s="1"/>
  <c r="BJ11" i="6"/>
  <c r="BL11" i="6" s="1"/>
  <c r="BN11" i="6" s="1"/>
  <c r="BP11" i="6" s="1"/>
  <c r="BQ11" i="6" s="1"/>
  <c r="BJ115" i="6"/>
  <c r="BL115" i="6" s="1"/>
  <c r="BN115" i="6" s="1"/>
  <c r="BP115" i="6" s="1"/>
  <c r="BQ115" i="6" s="1"/>
  <c r="Y204" i="6"/>
  <c r="AW204" i="6"/>
  <c r="BJ181" i="6"/>
  <c r="BL181" i="6" s="1"/>
  <c r="BN181" i="6" s="1"/>
  <c r="BP181" i="6" s="1"/>
  <c r="BQ181" i="6" s="1"/>
  <c r="AX207" i="6"/>
  <c r="AF207" i="6" s="1"/>
  <c r="AW58" i="6"/>
  <c r="AY58" i="6" s="1"/>
  <c r="BA58" i="6" s="1"/>
  <c r="BJ122" i="6"/>
  <c r="BL122" i="6" s="1"/>
  <c r="BN122" i="6" s="1"/>
  <c r="BP122" i="6" s="1"/>
  <c r="BQ122" i="6" s="1"/>
  <c r="BJ71" i="6"/>
  <c r="BL71" i="6" s="1"/>
  <c r="BN71" i="6" s="1"/>
  <c r="BP71" i="6" s="1"/>
  <c r="BQ71" i="6" s="1"/>
  <c r="BJ32" i="6"/>
  <c r="BL32" i="6" s="1"/>
  <c r="BN32" i="6" s="1"/>
  <c r="BP32" i="6" s="1"/>
  <c r="BQ32" i="6" s="1"/>
  <c r="BJ160" i="6"/>
  <c r="BL160" i="6" s="1"/>
  <c r="BN160" i="6" s="1"/>
  <c r="BP160" i="6" s="1"/>
  <c r="BQ160" i="6" s="1"/>
  <c r="BJ58" i="6"/>
  <c r="BL58" i="6" s="1"/>
  <c r="BN58" i="6" s="1"/>
  <c r="BP58" i="6" s="1"/>
  <c r="BQ58" i="6" s="1"/>
  <c r="BJ54" i="6"/>
  <c r="BL54" i="6" s="1"/>
  <c r="BN54" i="6" s="1"/>
  <c r="BP54" i="6" s="1"/>
  <c r="BQ54" i="6" s="1"/>
  <c r="BJ31" i="6"/>
  <c r="BL31" i="6" s="1"/>
  <c r="BN31" i="6" s="1"/>
  <c r="BP31" i="6" s="1"/>
  <c r="BQ31" i="6" s="1"/>
  <c r="BJ176" i="6"/>
  <c r="BL176" i="6" s="1"/>
  <c r="BN176" i="6" s="1"/>
  <c r="BP176" i="6" s="1"/>
  <c r="BQ176" i="6" s="1"/>
  <c r="AD207" i="6"/>
  <c r="BJ207" i="6"/>
  <c r="BL207" i="6" s="1"/>
  <c r="BN207" i="6" s="1"/>
  <c r="BJ46" i="6"/>
  <c r="BL46" i="6" s="1"/>
  <c r="BN46" i="6" s="1"/>
  <c r="BP46" i="6" s="1"/>
  <c r="BQ46" i="6" s="1"/>
  <c r="BJ77" i="6"/>
  <c r="BL77" i="6" s="1"/>
  <c r="BN77" i="6" s="1"/>
  <c r="BP77" i="6" s="1"/>
  <c r="BQ77" i="6" s="1"/>
  <c r="AW145" i="6"/>
  <c r="AY145" i="6" s="1"/>
  <c r="BA145" i="6" s="1"/>
  <c r="AW11" i="6"/>
  <c r="AY11" i="6" s="1"/>
  <c r="BA11" i="6" s="1"/>
  <c r="AW129" i="6"/>
  <c r="AY129" i="6" s="1"/>
  <c r="BA129" i="6" s="1"/>
  <c r="AW174" i="6"/>
  <c r="AY174" i="6" s="1"/>
  <c r="BA174" i="6" s="1"/>
  <c r="AY208" i="6"/>
  <c r="AW137" i="6"/>
  <c r="AY137" i="6" s="1"/>
  <c r="BA137" i="6" s="1"/>
  <c r="BJ170" i="6"/>
  <c r="BL170" i="6" s="1"/>
  <c r="BN170" i="6" s="1"/>
  <c r="BP170" i="6" s="1"/>
  <c r="BQ170" i="6" s="1"/>
  <c r="BJ42" i="6"/>
  <c r="BL42" i="6" s="1"/>
  <c r="BN42" i="6" s="1"/>
  <c r="BP42" i="6" s="1"/>
  <c r="BQ42" i="6" s="1"/>
  <c r="BJ102" i="6"/>
  <c r="BL102" i="6" s="1"/>
  <c r="BN102" i="6" s="1"/>
  <c r="BP102" i="6" s="1"/>
  <c r="BQ102" i="6" s="1"/>
  <c r="BJ48" i="6"/>
  <c r="BL48" i="6" s="1"/>
  <c r="BN48" i="6" s="1"/>
  <c r="BP48" i="6" s="1"/>
  <c r="BQ48" i="6" s="1"/>
  <c r="BJ205" i="6"/>
  <c r="BL205" i="6" s="1"/>
  <c r="BN205" i="6" s="1"/>
  <c r="AD205" i="6"/>
  <c r="AH205" i="6" s="1"/>
  <c r="BJ178" i="6"/>
  <c r="BL178" i="6" s="1"/>
  <c r="BN178" i="6" s="1"/>
  <c r="BP178" i="6" s="1"/>
  <c r="BQ178" i="6" s="1"/>
  <c r="AW207" i="6"/>
  <c r="AH209" i="6" l="1"/>
  <c r="AI209" i="6" s="1"/>
  <c r="BO205" i="6"/>
  <c r="BP205" i="6" s="1"/>
  <c r="BQ205" i="6" s="1"/>
  <c r="BO202" i="6"/>
  <c r="BP202" i="6" s="1"/>
  <c r="BQ202" i="6" s="1"/>
  <c r="BB81" i="6"/>
  <c r="BC81" i="6" s="1"/>
  <c r="BD81" i="6" s="1"/>
  <c r="BB80" i="6"/>
  <c r="BC80" i="6" s="1"/>
  <c r="BD80" i="6" s="1"/>
  <c r="BB10" i="6"/>
  <c r="BC10" i="6" s="1"/>
  <c r="BD10" i="6" s="1"/>
  <c r="BB36" i="6"/>
  <c r="BC36" i="6" s="1"/>
  <c r="BD36" i="6" s="1"/>
  <c r="BB16" i="6"/>
  <c r="BC16" i="6" s="1"/>
  <c r="BD16" i="6" s="1"/>
  <c r="BO203" i="6"/>
  <c r="BP203" i="6" s="1"/>
  <c r="BQ203" i="6" s="1"/>
  <c r="BB30" i="6"/>
  <c r="BC30" i="6" s="1"/>
  <c r="BD30" i="6" s="1"/>
  <c r="BB137" i="6"/>
  <c r="BC137" i="6" s="1"/>
  <c r="BD137" i="6" s="1"/>
  <c r="BO207" i="6"/>
  <c r="BP207" i="6" s="1"/>
  <c r="BQ207" i="6" s="1"/>
  <c r="BB119" i="6"/>
  <c r="BC119" i="6" s="1"/>
  <c r="BD119" i="6" s="1"/>
  <c r="BB169" i="6"/>
  <c r="BC169" i="6" s="1"/>
  <c r="BD169" i="6" s="1"/>
  <c r="BB125" i="6"/>
  <c r="BC125" i="6" s="1"/>
  <c r="BD125" i="6" s="1"/>
  <c r="BB141" i="6"/>
  <c r="BC141" i="6" s="1"/>
  <c r="BD141" i="6" s="1"/>
  <c r="BB34" i="6"/>
  <c r="BC34" i="6" s="1"/>
  <c r="BD34" i="6" s="1"/>
  <c r="BB51" i="6"/>
  <c r="BC51" i="6" s="1"/>
  <c r="BD51" i="6" s="1"/>
  <c r="BB99" i="6"/>
  <c r="BC99" i="6" s="1"/>
  <c r="BD99" i="6" s="1"/>
  <c r="BB145" i="6"/>
  <c r="BC145" i="6" s="1"/>
  <c r="BD145" i="6" s="1"/>
  <c r="BB62" i="6"/>
  <c r="BC62" i="6" s="1"/>
  <c r="BD62" i="6" s="1"/>
  <c r="BB83" i="6"/>
  <c r="BC83" i="6" s="1"/>
  <c r="BD83" i="6" s="1"/>
  <c r="BB46" i="6"/>
  <c r="BC46" i="6" s="1"/>
  <c r="BD46" i="6" s="1"/>
  <c r="BB120" i="6"/>
  <c r="BC120" i="6" s="1"/>
  <c r="BD120" i="6" s="1"/>
  <c r="BB110" i="6"/>
  <c r="BC110" i="6" s="1"/>
  <c r="BD110" i="6" s="1"/>
  <c r="BB104" i="6"/>
  <c r="BC104" i="6" s="1"/>
  <c r="BD104" i="6" s="1"/>
  <c r="BB112" i="6"/>
  <c r="BC112" i="6" s="1"/>
  <c r="BD112" i="6" s="1"/>
  <c r="BB163" i="6"/>
  <c r="BC163" i="6" s="1"/>
  <c r="BD163" i="6" s="1"/>
  <c r="BO204" i="6"/>
  <c r="BP204" i="6" s="1"/>
  <c r="BQ204" i="6" s="1"/>
  <c r="BO206" i="6"/>
  <c r="BP206" i="6" s="1"/>
  <c r="BQ206" i="6" s="1"/>
  <c r="AI208" i="6"/>
  <c r="AH206" i="6"/>
  <c r="AI206" i="6" s="1"/>
  <c r="BB129" i="6"/>
  <c r="BC129" i="6" s="1"/>
  <c r="BD129" i="6" s="1"/>
  <c r="BB14" i="6"/>
  <c r="BC14" i="6" s="1"/>
  <c r="BD14" i="6" s="1"/>
  <c r="BB22" i="6"/>
  <c r="BC22" i="6" s="1"/>
  <c r="BD22" i="6" s="1"/>
  <c r="BB20" i="6"/>
  <c r="BC20" i="6" s="1"/>
  <c r="BD20" i="6" s="1"/>
  <c r="BO209" i="6"/>
  <c r="BP209" i="6" s="1"/>
  <c r="BQ209" i="6" s="1"/>
  <c r="BB11" i="6"/>
  <c r="BC11" i="6" s="1"/>
  <c r="BD11" i="6" s="1"/>
  <c r="BB152" i="6"/>
  <c r="BC152" i="6" s="1"/>
  <c r="BD152" i="6" s="1"/>
  <c r="BB136" i="6"/>
  <c r="BC136" i="6" s="1"/>
  <c r="BD136" i="6" s="1"/>
  <c r="AI205" i="6"/>
  <c r="BB174" i="6"/>
  <c r="BC174" i="6" s="1"/>
  <c r="BD174" i="6" s="1"/>
  <c r="BB58" i="6"/>
  <c r="BC58" i="6" s="1"/>
  <c r="BD58" i="6" s="1"/>
  <c r="BB78" i="6"/>
  <c r="BC78" i="6" s="1"/>
  <c r="BD78" i="6" s="1"/>
  <c r="BB33" i="6"/>
  <c r="BC33" i="6" s="1"/>
  <c r="BD33" i="6" s="1"/>
  <c r="BB57" i="6"/>
  <c r="BC57" i="6" s="1"/>
  <c r="BD57" i="6" s="1"/>
  <c r="BB128" i="6"/>
  <c r="BC128" i="6" s="1"/>
  <c r="BD128" i="6" s="1"/>
  <c r="BB101" i="6"/>
  <c r="BC101" i="6" s="1"/>
  <c r="BD101" i="6" s="1"/>
  <c r="BB19" i="6"/>
  <c r="BC19" i="6" s="1"/>
  <c r="BD19" i="6" s="1"/>
  <c r="BB161" i="6"/>
  <c r="BC161" i="6" s="1"/>
  <c r="BD161" i="6" s="1"/>
  <c r="BB43" i="6"/>
  <c r="BC43" i="6" s="1"/>
  <c r="BD43" i="6" s="1"/>
  <c r="BB27" i="6"/>
  <c r="BC27" i="6" s="1"/>
  <c r="BD27" i="6" s="1"/>
  <c r="AI202" i="6"/>
  <c r="AH203" i="6"/>
  <c r="AI203" i="6" s="1"/>
  <c r="BA203" i="6"/>
  <c r="BB203" i="6" s="1"/>
  <c r="BA208" i="6"/>
  <c r="BB208" i="6" s="1"/>
  <c r="BA206" i="6"/>
  <c r="BB206" i="6" s="1"/>
  <c r="AY204" i="6"/>
  <c r="BA209" i="6"/>
  <c r="BB209" i="6" s="1"/>
  <c r="AZ207" i="6"/>
  <c r="AG207" i="6" s="1"/>
  <c r="AH207" i="6" s="1"/>
  <c r="AI207" i="6" s="1"/>
  <c r="AY207" i="6"/>
  <c r="BA202" i="6"/>
  <c r="BB202" i="6" s="1"/>
  <c r="AZ204" i="6"/>
  <c r="AG204" i="6" s="1"/>
  <c r="AH204" i="6" s="1"/>
  <c r="AN18" i="3"/>
  <c r="C275" i="5"/>
  <c r="AI204" i="6" l="1"/>
  <c r="BA207" i="6"/>
  <c r="BB207" i="6" s="1"/>
  <c r="AJ205" i="6"/>
  <c r="BC206" i="6"/>
  <c r="BD206" i="6" s="1"/>
  <c r="AJ203" i="6"/>
  <c r="AJ208" i="6"/>
  <c r="AJ206" i="6"/>
  <c r="BC203" i="6"/>
  <c r="BD203" i="6" s="1"/>
  <c r="BC208" i="6"/>
  <c r="BD208" i="6" s="1"/>
  <c r="BC205" i="6"/>
  <c r="BD205" i="6" s="1"/>
  <c r="AJ202" i="6"/>
  <c r="AJ209" i="6"/>
  <c r="BA204" i="6"/>
  <c r="BB204" i="6" s="1"/>
  <c r="BC202" i="6"/>
  <c r="BD202" i="6" s="1"/>
  <c r="BC209" i="6"/>
  <c r="BD209" i="6" s="1"/>
  <c r="AJ207" i="6" l="1"/>
  <c r="AJ204" i="6"/>
  <c r="BC204" i="6"/>
  <c r="BD204" i="6" s="1"/>
  <c r="BC207" i="6"/>
  <c r="BD207" i="6" s="1"/>
  <c r="AN186" i="6" l="1"/>
  <c r="AN199" i="6"/>
  <c r="AN187" i="6"/>
  <c r="AN191" i="6"/>
  <c r="AN194" i="6"/>
  <c r="AN196" i="6"/>
  <c r="AN195" i="6"/>
  <c r="AN190" i="6"/>
  <c r="AN188" i="6"/>
  <c r="AN197" i="6"/>
  <c r="AN200" i="6"/>
  <c r="AN183" i="6"/>
  <c r="AN185" i="6"/>
  <c r="AN189" i="6"/>
  <c r="AN12" i="3" l="1"/>
  <c r="AN10" i="3"/>
  <c r="AN210" i="6"/>
  <c r="AN11" i="3"/>
  <c r="AN192" i="6"/>
  <c r="AN14" i="3"/>
  <c r="AN184" i="6"/>
  <c r="AN13" i="3"/>
  <c r="AN15" i="3"/>
  <c r="AN201" i="6"/>
  <c r="AN198" i="6"/>
  <c r="AN193" i="6"/>
  <c r="AN211" i="6" l="1"/>
  <c r="AN16" i="3"/>
  <c r="AN19" i="3" s="1"/>
  <c r="AN216" i="6" s="1"/>
  <c r="B25" i="5"/>
  <c r="B43" i="5"/>
  <c r="B13" i="5"/>
  <c r="C276" i="5" l="1"/>
  <c r="C270" i="5"/>
  <c r="D270" i="5" s="1"/>
  <c r="C281" i="5"/>
  <c r="G11" i="5"/>
  <c r="D14" i="3" s="1"/>
  <c r="U14" i="3" s="1"/>
  <c r="D12" i="5"/>
  <c r="D9" i="5"/>
  <c r="G8" i="5"/>
  <c r="D11" i="3" s="1"/>
  <c r="F13" i="5"/>
  <c r="B253" i="5" s="1"/>
  <c r="D10" i="5"/>
  <c r="G10" i="5"/>
  <c r="D13" i="3" s="1"/>
  <c r="D11" i="5"/>
  <c r="G9" i="5"/>
  <c r="D12" i="3" s="1"/>
  <c r="G12" i="5"/>
  <c r="D15" i="3" s="1"/>
  <c r="D7" i="5"/>
  <c r="D8" i="5"/>
  <c r="G7" i="5"/>
  <c r="D10" i="3" s="1"/>
  <c r="B230" i="5"/>
  <c r="C104" i="5" l="1"/>
  <c r="AS11" i="3"/>
  <c r="AT11" i="3" s="1"/>
  <c r="BD11" i="3"/>
  <c r="BD13" i="3"/>
  <c r="AS13" i="3"/>
  <c r="AT13" i="3" s="1"/>
  <c r="BD15" i="3"/>
  <c r="AS15" i="3"/>
  <c r="BD10" i="3"/>
  <c r="AS10" i="3"/>
  <c r="AS12" i="3"/>
  <c r="BD12" i="3"/>
  <c r="BD14" i="3"/>
  <c r="AS14" i="3"/>
  <c r="B234" i="5"/>
  <c r="B247" i="5"/>
  <c r="B231" i="5"/>
  <c r="B276" i="5"/>
  <c r="C277" i="5"/>
  <c r="Z12" i="3"/>
  <c r="U12" i="3"/>
  <c r="W12" i="3"/>
  <c r="V12" i="3"/>
  <c r="AA12" i="3"/>
  <c r="AB12" i="3"/>
  <c r="AB14" i="3"/>
  <c r="AA14" i="3"/>
  <c r="W14" i="3"/>
  <c r="Z14" i="3"/>
  <c r="V14" i="3"/>
  <c r="AA13" i="3"/>
  <c r="W13" i="3"/>
  <c r="AB13" i="3"/>
  <c r="U13" i="3"/>
  <c r="V13" i="3"/>
  <c r="Z13" i="3"/>
  <c r="D16" i="3"/>
  <c r="W10" i="3"/>
  <c r="U10" i="3"/>
  <c r="Z10" i="3"/>
  <c r="V10" i="3"/>
  <c r="AB10" i="3"/>
  <c r="AA10" i="3"/>
  <c r="W11" i="3"/>
  <c r="AB11" i="3"/>
  <c r="U11" i="3"/>
  <c r="Z11" i="3"/>
  <c r="AA11" i="3"/>
  <c r="V11" i="3"/>
  <c r="V15" i="3"/>
  <c r="Z15" i="3"/>
  <c r="W15" i="3"/>
  <c r="AB15" i="3"/>
  <c r="U15" i="3"/>
  <c r="AA15" i="3"/>
  <c r="C61" i="5"/>
  <c r="C83" i="5"/>
  <c r="C123" i="5"/>
  <c r="C184" i="5"/>
  <c r="C224" i="5"/>
  <c r="C69" i="5"/>
  <c r="C109" i="5"/>
  <c r="C150" i="5"/>
  <c r="C190" i="5"/>
  <c r="C70" i="5"/>
  <c r="C94" i="5"/>
  <c r="C147" i="5"/>
  <c r="C187" i="5"/>
  <c r="C67" i="5"/>
  <c r="C168" i="5"/>
  <c r="C189" i="5"/>
  <c r="C211" i="5"/>
  <c r="C229" i="5"/>
  <c r="C88" i="5"/>
  <c r="C131" i="5"/>
  <c r="C51" i="5"/>
  <c r="C112" i="5"/>
  <c r="C152" i="5"/>
  <c r="C195" i="5"/>
  <c r="C75" i="5"/>
  <c r="C134" i="5"/>
  <c r="C176" i="5"/>
  <c r="C216" i="5"/>
  <c r="C56" i="5"/>
  <c r="C96" i="5"/>
  <c r="C139" i="5"/>
  <c r="C179" i="5"/>
  <c r="C59" i="5"/>
  <c r="C120" i="5"/>
  <c r="C160" i="5"/>
  <c r="C181" i="5"/>
  <c r="C203" i="5"/>
  <c r="C133" i="5"/>
  <c r="C173" i="5"/>
  <c r="C214" i="5"/>
  <c r="C53" i="5"/>
  <c r="C115" i="5"/>
  <c r="C197" i="5"/>
  <c r="C102" i="5"/>
  <c r="C85" i="5"/>
  <c r="C180" i="5"/>
  <c r="C116" i="5"/>
  <c r="C52" i="5"/>
  <c r="C161" i="5"/>
  <c r="C97" i="5"/>
  <c r="C126" i="5"/>
  <c r="C125" i="5"/>
  <c r="C219" i="5"/>
  <c r="C221" i="5"/>
  <c r="C205" i="5"/>
  <c r="C201" i="5"/>
  <c r="C108" i="5"/>
  <c r="C84" i="5"/>
  <c r="C192" i="5"/>
  <c r="C163" i="5"/>
  <c r="C175" i="5"/>
  <c r="C111" i="5"/>
  <c r="C186" i="5"/>
  <c r="C122" i="5"/>
  <c r="C58" i="5"/>
  <c r="C220" i="5"/>
  <c r="C68" i="5"/>
  <c r="C156" i="5"/>
  <c r="C174" i="5"/>
  <c r="C118" i="5"/>
  <c r="C121" i="5"/>
  <c r="C57" i="5"/>
  <c r="C86" i="5"/>
  <c r="C62" i="5"/>
  <c r="C169" i="5"/>
  <c r="C137" i="5"/>
  <c r="C204" i="5"/>
  <c r="C155" i="5"/>
  <c r="C136" i="5"/>
  <c r="C92" i="5"/>
  <c r="C158" i="5"/>
  <c r="C225" i="5"/>
  <c r="C206" i="5"/>
  <c r="C177" i="5"/>
  <c r="C153" i="5"/>
  <c r="C113" i="5"/>
  <c r="C64" i="5"/>
  <c r="C144" i="5"/>
  <c r="C199" i="5"/>
  <c r="C135" i="5"/>
  <c r="C71" i="5"/>
  <c r="C210" i="5"/>
  <c r="C146" i="5"/>
  <c r="C82" i="5"/>
  <c r="C76" i="5"/>
  <c r="C124" i="5"/>
  <c r="C182" i="5"/>
  <c r="C157" i="5"/>
  <c r="C141" i="5"/>
  <c r="C117" i="5"/>
  <c r="C129" i="5"/>
  <c r="C81" i="5"/>
  <c r="C65" i="5"/>
  <c r="C148" i="5"/>
  <c r="C165" i="5"/>
  <c r="C132" i="5"/>
  <c r="C209" i="5"/>
  <c r="C227" i="5"/>
  <c r="C172" i="5"/>
  <c r="C193" i="5"/>
  <c r="C164" i="5"/>
  <c r="C159" i="5"/>
  <c r="C79" i="5"/>
  <c r="C170" i="5"/>
  <c r="C90" i="5"/>
  <c r="C138" i="5"/>
  <c r="C110" i="5"/>
  <c r="C213" i="5"/>
  <c r="C105" i="5"/>
  <c r="C91" i="5"/>
  <c r="C208" i="5"/>
  <c r="C103" i="5"/>
  <c r="C202" i="5"/>
  <c r="C188" i="5"/>
  <c r="C49" i="5"/>
  <c r="C142" i="5"/>
  <c r="C200" i="5"/>
  <c r="C151" i="5"/>
  <c r="C63" i="5"/>
  <c r="C162" i="5"/>
  <c r="C74" i="5"/>
  <c r="C140" i="5"/>
  <c r="C54" i="5"/>
  <c r="C93" i="5"/>
  <c r="C198" i="5"/>
  <c r="C228" i="5"/>
  <c r="C101" i="5"/>
  <c r="C99" i="5"/>
  <c r="C223" i="5"/>
  <c r="C143" i="5"/>
  <c r="C55" i="5"/>
  <c r="C154" i="5"/>
  <c r="C66" i="5"/>
  <c r="C100" i="5"/>
  <c r="C128" i="5"/>
  <c r="C127" i="5"/>
  <c r="C226" i="5"/>
  <c r="C217" i="5"/>
  <c r="C207" i="5"/>
  <c r="C119" i="5"/>
  <c r="C130" i="5"/>
  <c r="C77" i="5"/>
  <c r="C166" i="5"/>
  <c r="C222" i="5"/>
  <c r="C196" i="5"/>
  <c r="C145" i="5"/>
  <c r="C60" i="5"/>
  <c r="C107" i="5"/>
  <c r="C183" i="5"/>
  <c r="C95" i="5"/>
  <c r="C194" i="5"/>
  <c r="C106" i="5"/>
  <c r="C78" i="5"/>
  <c r="C149" i="5"/>
  <c r="C89" i="5"/>
  <c r="C80" i="5"/>
  <c r="C167" i="5"/>
  <c r="C87" i="5"/>
  <c r="C178" i="5"/>
  <c r="C98" i="5"/>
  <c r="C185" i="5"/>
  <c r="C73" i="5"/>
  <c r="C72" i="5"/>
  <c r="C215" i="5"/>
  <c r="C50" i="5"/>
  <c r="C218" i="5"/>
  <c r="C212" i="5"/>
  <c r="C171" i="5"/>
  <c r="C191" i="5"/>
  <c r="C114" i="5"/>
  <c r="H11" i="5"/>
  <c r="E14" i="3" s="1"/>
  <c r="R14" i="3" s="1"/>
  <c r="F11" i="5"/>
  <c r="H10" i="5"/>
  <c r="E13" i="3" s="1"/>
  <c r="F10" i="5"/>
  <c r="H7" i="5"/>
  <c r="E10" i="3" s="1"/>
  <c r="F7" i="5"/>
  <c r="H8" i="5"/>
  <c r="E11" i="3" s="1"/>
  <c r="F8" i="5"/>
  <c r="H9" i="5"/>
  <c r="E12" i="3" s="1"/>
  <c r="F9" i="5"/>
  <c r="H12" i="5"/>
  <c r="E15" i="3" s="1"/>
  <c r="F12" i="5"/>
  <c r="G13" i="5"/>
  <c r="D177" i="5" l="1"/>
  <c r="D74" i="5"/>
  <c r="D220" i="5"/>
  <c r="D92" i="5"/>
  <c r="D78" i="5"/>
  <c r="D97" i="5"/>
  <c r="D57" i="5"/>
  <c r="D194" i="5"/>
  <c r="D212" i="5"/>
  <c r="D171" i="5"/>
  <c r="D82" i="5"/>
  <c r="D196" i="5"/>
  <c r="D84" i="5"/>
  <c r="D138" i="5"/>
  <c r="D182" i="5"/>
  <c r="D141" i="5"/>
  <c r="D127" i="5"/>
  <c r="D51" i="5"/>
  <c r="D95" i="5"/>
  <c r="D68" i="5"/>
  <c r="D90" i="5"/>
  <c r="D99" i="5"/>
  <c r="D96" i="5"/>
  <c r="D149" i="5"/>
  <c r="D49" i="5"/>
  <c r="D214" i="5"/>
  <c r="D76" i="5"/>
  <c r="D63" i="5"/>
  <c r="D61" i="5"/>
  <c r="D198" i="5"/>
  <c r="D32" i="5"/>
  <c r="D204" i="5"/>
  <c r="D79" i="5"/>
  <c r="D39" i="5"/>
  <c r="D69" i="5"/>
  <c r="D159" i="5"/>
  <c r="D227" i="5"/>
  <c r="D188" i="5"/>
  <c r="D103" i="5"/>
  <c r="D205" i="5"/>
  <c r="D201" i="5"/>
  <c r="D110" i="5"/>
  <c r="D179" i="5"/>
  <c r="D89" i="5"/>
  <c r="D66" i="5"/>
  <c r="D55" i="5"/>
  <c r="D114" i="5"/>
  <c r="D91" i="5"/>
  <c r="D174" i="5"/>
  <c r="D70" i="5"/>
  <c r="D147" i="5"/>
  <c r="D170" i="5"/>
  <c r="D116" i="5"/>
  <c r="D140" i="5"/>
  <c r="D20" i="5"/>
  <c r="D181" i="5"/>
  <c r="D40" i="5"/>
  <c r="D109" i="5"/>
  <c r="D107" i="5"/>
  <c r="D93" i="5"/>
  <c r="D224" i="5"/>
  <c r="D112" i="5"/>
  <c r="D206" i="5"/>
  <c r="D77" i="5"/>
  <c r="D165" i="5"/>
  <c r="D150" i="5"/>
  <c r="D59" i="5"/>
  <c r="D81" i="5"/>
  <c r="D115" i="5"/>
  <c r="D190" i="5"/>
  <c r="D144" i="5"/>
  <c r="D36" i="5"/>
  <c r="D22" i="5"/>
  <c r="D161" i="5"/>
  <c r="D30" i="5"/>
  <c r="D208" i="5"/>
  <c r="D24" i="5"/>
  <c r="D139" i="5"/>
  <c r="D35" i="5"/>
  <c r="D197" i="5"/>
  <c r="D162" i="5"/>
  <c r="D130" i="5"/>
  <c r="D191" i="5"/>
  <c r="D211" i="5"/>
  <c r="D169" i="5"/>
  <c r="D215" i="5"/>
  <c r="D62" i="5"/>
  <c r="D128" i="5"/>
  <c r="D228" i="5"/>
  <c r="D163" i="5"/>
  <c r="D200" i="5"/>
  <c r="D157" i="5"/>
  <c r="D166" i="5"/>
  <c r="D136" i="5"/>
  <c r="D87" i="5"/>
  <c r="D164" i="5"/>
  <c r="D210" i="5"/>
  <c r="D64" i="5"/>
  <c r="D175" i="5"/>
  <c r="D189" i="5"/>
  <c r="D104" i="5"/>
  <c r="D60" i="5"/>
  <c r="D54" i="5"/>
  <c r="D56" i="5"/>
  <c r="D155" i="5"/>
  <c r="D86" i="5"/>
  <c r="D120" i="5"/>
  <c r="D133" i="5"/>
  <c r="D156" i="5"/>
  <c r="D158" i="5"/>
  <c r="D123" i="5"/>
  <c r="D172" i="5"/>
  <c r="D124" i="5"/>
  <c r="D168" i="5"/>
  <c r="D113" i="5"/>
  <c r="D38" i="5"/>
  <c r="D34" i="5"/>
  <c r="D195" i="5"/>
  <c r="D106" i="5"/>
  <c r="D176" i="5"/>
  <c r="D173" i="5"/>
  <c r="D53" i="5"/>
  <c r="D75" i="5"/>
  <c r="D101" i="5"/>
  <c r="D185" i="5"/>
  <c r="D71" i="5"/>
  <c r="D121" i="5"/>
  <c r="D225" i="5"/>
  <c r="D98" i="5"/>
  <c r="D183" i="5"/>
  <c r="D192" i="5"/>
  <c r="D85" i="5"/>
  <c r="D137" i="5"/>
  <c r="D229" i="5"/>
  <c r="D217" i="5"/>
  <c r="D207" i="5"/>
  <c r="D105" i="5"/>
  <c r="D209" i="5"/>
  <c r="D202" i="5"/>
  <c r="D221" i="5"/>
  <c r="D132" i="5"/>
  <c r="D135" i="5"/>
  <c r="D180" i="5"/>
  <c r="D187" i="5"/>
  <c r="D219" i="5"/>
  <c r="D100" i="5"/>
  <c r="D203" i="5"/>
  <c r="D148" i="5"/>
  <c r="D145" i="5"/>
  <c r="D131" i="5"/>
  <c r="D94" i="5"/>
  <c r="D80" i="5"/>
  <c r="D37" i="5"/>
  <c r="D23" i="5"/>
  <c r="D167" i="5"/>
  <c r="D102" i="5"/>
  <c r="D223" i="5"/>
  <c r="D52" i="5"/>
  <c r="D151" i="5"/>
  <c r="D213" i="5"/>
  <c r="D122" i="5"/>
  <c r="D153" i="5"/>
  <c r="D31" i="5"/>
  <c r="D72" i="5"/>
  <c r="D19" i="5"/>
  <c r="D226" i="5"/>
  <c r="D73" i="5"/>
  <c r="D160" i="5"/>
  <c r="D125" i="5"/>
  <c r="D83" i="5"/>
  <c r="D118" i="5"/>
  <c r="D134" i="5"/>
  <c r="D152" i="5"/>
  <c r="D21" i="5"/>
  <c r="D67" i="5"/>
  <c r="D111" i="5"/>
  <c r="D108" i="5"/>
  <c r="D42" i="5"/>
  <c r="D33" i="5"/>
  <c r="D88" i="5"/>
  <c r="D146" i="5"/>
  <c r="D58" i="5"/>
  <c r="D218" i="5"/>
  <c r="D184" i="5"/>
  <c r="D199" i="5"/>
  <c r="D143" i="5"/>
  <c r="D222" i="5"/>
  <c r="D29" i="5"/>
  <c r="D126" i="5"/>
  <c r="D193" i="5"/>
  <c r="D65" i="5"/>
  <c r="D41" i="5"/>
  <c r="D178" i="5"/>
  <c r="D119" i="5"/>
  <c r="D142" i="5"/>
  <c r="D154" i="5"/>
  <c r="D186" i="5"/>
  <c r="D129" i="5"/>
  <c r="D216" i="5"/>
  <c r="D117" i="5"/>
  <c r="D50" i="5"/>
  <c r="P23" i="20"/>
  <c r="AS16" i="3"/>
  <c r="B235" i="5"/>
  <c r="G23" i="20"/>
  <c r="D18" i="19"/>
  <c r="BD16" i="3"/>
  <c r="AT12" i="3"/>
  <c r="AT10" i="3"/>
  <c r="BE11" i="3"/>
  <c r="BG11" i="3" s="1"/>
  <c r="BI11" i="3" s="1"/>
  <c r="BK11" i="3" s="1"/>
  <c r="BE10" i="3"/>
  <c r="BE14" i="3"/>
  <c r="BG14" i="3" s="1"/>
  <c r="BI14" i="3" s="1"/>
  <c r="BK14" i="3" s="1"/>
  <c r="AU13" i="3"/>
  <c r="X13" i="3" s="1"/>
  <c r="AV13" i="3"/>
  <c r="AU11" i="3"/>
  <c r="X11" i="3" s="1"/>
  <c r="AV11" i="3"/>
  <c r="AT14" i="3"/>
  <c r="BE13" i="3"/>
  <c r="BG13" i="3" s="1"/>
  <c r="BI13" i="3" s="1"/>
  <c r="BK13" i="3" s="1"/>
  <c r="BE15" i="3"/>
  <c r="BG15" i="3" s="1"/>
  <c r="BI15" i="3" s="1"/>
  <c r="BK15" i="3" s="1"/>
  <c r="BE12" i="3"/>
  <c r="BG12" i="3" s="1"/>
  <c r="BI12" i="3" s="1"/>
  <c r="BK12" i="3" s="1"/>
  <c r="AT15" i="3"/>
  <c r="I11" i="5"/>
  <c r="F14" i="3" s="1"/>
  <c r="AB16" i="3"/>
  <c r="W16" i="3"/>
  <c r="V16" i="3"/>
  <c r="R10" i="3"/>
  <c r="Z16" i="3"/>
  <c r="I10" i="5"/>
  <c r="F13" i="3" s="1"/>
  <c r="U16" i="3"/>
  <c r="AK16" i="3"/>
  <c r="I8" i="5"/>
  <c r="F11" i="3" s="1"/>
  <c r="I12" i="5"/>
  <c r="F15" i="3" s="1"/>
  <c r="I9" i="5"/>
  <c r="F12" i="3" s="1"/>
  <c r="AA16" i="3"/>
  <c r="C230" i="5"/>
  <c r="H13" i="5"/>
  <c r="I7" i="5"/>
  <c r="F10" i="3" s="1"/>
  <c r="E18" i="3" l="1"/>
  <c r="R18" i="3" s="1"/>
  <c r="S18" i="3" s="1"/>
  <c r="C231" i="5"/>
  <c r="AE11" i="3"/>
  <c r="AE13" i="3"/>
  <c r="H23" i="20"/>
  <c r="O23" i="20"/>
  <c r="N23" i="20"/>
  <c r="I23" i="20"/>
  <c r="AU15" i="3"/>
  <c r="E18" i="19"/>
  <c r="B239" i="5"/>
  <c r="BF15" i="3"/>
  <c r="AC15" i="3" s="1"/>
  <c r="AU12" i="3"/>
  <c r="X12" i="3" s="1"/>
  <c r="AT16" i="3"/>
  <c r="AU10" i="3"/>
  <c r="X10" i="3" s="1"/>
  <c r="AX13" i="3"/>
  <c r="AF13" i="3" s="1"/>
  <c r="BF14" i="3"/>
  <c r="AX11" i="3"/>
  <c r="AF11" i="3" s="1"/>
  <c r="BE16" i="3"/>
  <c r="AV10" i="3"/>
  <c r="AV12" i="3"/>
  <c r="AE12" i="3" s="1"/>
  <c r="AV14" i="3"/>
  <c r="AV15" i="3"/>
  <c r="AE15" i="3" s="1"/>
  <c r="BF13" i="3"/>
  <c r="Y11" i="3"/>
  <c r="AW11" i="3"/>
  <c r="BF11" i="3"/>
  <c r="AU14" i="3"/>
  <c r="X14" i="3" s="1"/>
  <c r="Q11" i="3"/>
  <c r="Q13" i="3"/>
  <c r="BG10" i="3"/>
  <c r="BG16" i="3" s="1"/>
  <c r="Q15" i="3"/>
  <c r="AW13" i="3"/>
  <c r="Y13" i="3"/>
  <c r="Q12" i="3"/>
  <c r="Q14" i="3"/>
  <c r="BF12" i="3"/>
  <c r="BF10" i="3"/>
  <c r="F192" i="5"/>
  <c r="F196" i="5"/>
  <c r="F190" i="5"/>
  <c r="F179" i="5"/>
  <c r="F128" i="5"/>
  <c r="F171" i="5"/>
  <c r="F52" i="5"/>
  <c r="F120" i="5"/>
  <c r="F182" i="5"/>
  <c r="F201" i="5"/>
  <c r="F198" i="5"/>
  <c r="F77" i="5"/>
  <c r="F149" i="5"/>
  <c r="F225" i="5"/>
  <c r="F58" i="5"/>
  <c r="F130" i="5"/>
  <c r="F90" i="5"/>
  <c r="F119" i="5"/>
  <c r="F71" i="5"/>
  <c r="F202" i="5"/>
  <c r="F194" i="5"/>
  <c r="F98" i="5"/>
  <c r="F169" i="5"/>
  <c r="F145" i="5"/>
  <c r="F165" i="5"/>
  <c r="F75" i="5"/>
  <c r="F60" i="5"/>
  <c r="F89" i="5"/>
  <c r="F195" i="5"/>
  <c r="F116" i="5"/>
  <c r="F91" i="5"/>
  <c r="F214" i="5"/>
  <c r="F92" i="5"/>
  <c r="F204" i="5"/>
  <c r="F118" i="5"/>
  <c r="F209" i="5"/>
  <c r="F65" i="5"/>
  <c r="F80" i="5"/>
  <c r="F160" i="5"/>
  <c r="F117" i="5"/>
  <c r="F144" i="5"/>
  <c r="F79" i="5"/>
  <c r="F216" i="5"/>
  <c r="F208" i="5"/>
  <c r="F151" i="5"/>
  <c r="F101" i="5"/>
  <c r="F150" i="5"/>
  <c r="F175" i="5"/>
  <c r="F140" i="5"/>
  <c r="F229" i="5"/>
  <c r="F112" i="5"/>
  <c r="F69" i="5"/>
  <c r="F83" i="5"/>
  <c r="F174" i="5"/>
  <c r="F157" i="5"/>
  <c r="F161" i="5"/>
  <c r="F154" i="5"/>
  <c r="F135" i="5"/>
  <c r="F173" i="5"/>
  <c r="F210" i="5"/>
  <c r="F218" i="5"/>
  <c r="F103" i="5"/>
  <c r="F106" i="5"/>
  <c r="F215" i="5"/>
  <c r="F180" i="5"/>
  <c r="F104" i="5"/>
  <c r="F76" i="5"/>
  <c r="F54" i="5"/>
  <c r="F176" i="5"/>
  <c r="F184" i="5"/>
  <c r="F113" i="5"/>
  <c r="F102" i="5"/>
  <c r="F132" i="5"/>
  <c r="F59" i="5"/>
  <c r="F133" i="5"/>
  <c r="F147" i="5"/>
  <c r="F68" i="5"/>
  <c r="F205" i="5"/>
  <c r="F199" i="5"/>
  <c r="F186" i="5"/>
  <c r="F66" i="5"/>
  <c r="F207" i="5"/>
  <c r="F55" i="5"/>
  <c r="F127" i="5"/>
  <c r="F114" i="5"/>
  <c r="F159" i="5"/>
  <c r="F226" i="5"/>
  <c r="F56" i="5"/>
  <c r="F181" i="5"/>
  <c r="F64" i="5"/>
  <c r="F219" i="5"/>
  <c r="F124" i="5"/>
  <c r="F61" i="5"/>
  <c r="F109" i="5"/>
  <c r="F143" i="5"/>
  <c r="F122" i="5"/>
  <c r="F95" i="5"/>
  <c r="F142" i="5"/>
  <c r="F139" i="5"/>
  <c r="F57" i="5"/>
  <c r="F222" i="5"/>
  <c r="F110" i="5"/>
  <c r="F86" i="5"/>
  <c r="F125" i="5"/>
  <c r="F134" i="5"/>
  <c r="F163" i="5"/>
  <c r="F67" i="5"/>
  <c r="F153" i="5"/>
  <c r="F126" i="5"/>
  <c r="F141" i="5"/>
  <c r="F123" i="5"/>
  <c r="F221" i="5"/>
  <c r="F211" i="5"/>
  <c r="F164" i="5"/>
  <c r="F70" i="5"/>
  <c r="F88" i="5"/>
  <c r="F224" i="5"/>
  <c r="F111" i="5"/>
  <c r="F53" i="5"/>
  <c r="F74" i="5"/>
  <c r="F138" i="5"/>
  <c r="F167" i="5"/>
  <c r="F170" i="5"/>
  <c r="F166" i="5"/>
  <c r="F213" i="5"/>
  <c r="F155" i="5"/>
  <c r="F156" i="5"/>
  <c r="F81" i="5"/>
  <c r="F85" i="5"/>
  <c r="F50" i="5"/>
  <c r="F162" i="5"/>
  <c r="F148" i="5"/>
  <c r="F73" i="5"/>
  <c r="F188" i="5"/>
  <c r="F97" i="5"/>
  <c r="F121" i="5"/>
  <c r="F51" i="5"/>
  <c r="F227" i="5"/>
  <c r="F84" i="5"/>
  <c r="F108" i="5"/>
  <c r="F137" i="5"/>
  <c r="F107" i="5"/>
  <c r="F177" i="5"/>
  <c r="F158" i="5"/>
  <c r="F189" i="5"/>
  <c r="F187" i="5"/>
  <c r="F62" i="5"/>
  <c r="F185" i="5"/>
  <c r="F129" i="5"/>
  <c r="F206" i="5"/>
  <c r="F136" i="5"/>
  <c r="F63" i="5"/>
  <c r="F168" i="5"/>
  <c r="F72" i="5"/>
  <c r="F96" i="5"/>
  <c r="F152" i="5"/>
  <c r="F178" i="5"/>
  <c r="F223" i="5"/>
  <c r="F197" i="5"/>
  <c r="F203" i="5"/>
  <c r="F217" i="5"/>
  <c r="F115" i="5"/>
  <c r="F99" i="5"/>
  <c r="F172" i="5"/>
  <c r="F131" i="5"/>
  <c r="F220" i="5"/>
  <c r="F228" i="5"/>
  <c r="F78" i="5"/>
  <c r="F100" i="5"/>
  <c r="F94" i="5"/>
  <c r="F212" i="5"/>
  <c r="F105" i="5"/>
  <c r="F193" i="5"/>
  <c r="F200" i="5"/>
  <c r="F82" i="5"/>
  <c r="F49" i="5"/>
  <c r="F93" i="5"/>
  <c r="F146" i="5"/>
  <c r="F191" i="5"/>
  <c r="F183" i="5"/>
  <c r="F87" i="5"/>
  <c r="E16" i="3"/>
  <c r="AK19" i="3"/>
  <c r="AK21" i="3" s="1"/>
  <c r="R12" i="3"/>
  <c r="R15" i="3"/>
  <c r="R13" i="3"/>
  <c r="R11" i="3"/>
  <c r="I13" i="5"/>
  <c r="F24" i="5"/>
  <c r="F31" i="5"/>
  <c r="F34" i="5"/>
  <c r="F35" i="5"/>
  <c r="F36" i="5"/>
  <c r="F30" i="5"/>
  <c r="F41" i="5"/>
  <c r="C235" i="5"/>
  <c r="C234" i="5"/>
  <c r="F42" i="5"/>
  <c r="F23" i="5"/>
  <c r="F21" i="5"/>
  <c r="F38" i="5"/>
  <c r="F22" i="5"/>
  <c r="F40" i="5"/>
  <c r="F39" i="5"/>
  <c r="D43" i="5"/>
  <c r="F29" i="5"/>
  <c r="D25" i="5"/>
  <c r="F19" i="5"/>
  <c r="F33" i="5"/>
  <c r="F20" i="5"/>
  <c r="D230" i="5"/>
  <c r="E232" i="5" s="1"/>
  <c r="F37" i="5"/>
  <c r="F32" i="5"/>
  <c r="W18" i="3" l="1"/>
  <c r="V18" i="3"/>
  <c r="Z18" i="3"/>
  <c r="F18" i="3"/>
  <c r="BD18" i="3" s="1"/>
  <c r="BD19" i="3" s="1"/>
  <c r="AA18" i="3"/>
  <c r="U18" i="3"/>
  <c r="AB18" i="3"/>
  <c r="AE10" i="3"/>
  <c r="AE14" i="3"/>
  <c r="AC12" i="3"/>
  <c r="AC14" i="3"/>
  <c r="X15" i="3"/>
  <c r="AC11" i="3"/>
  <c r="AC13" i="3"/>
  <c r="AC10" i="3"/>
  <c r="C237" i="5"/>
  <c r="AW15" i="3"/>
  <c r="BH15" i="3"/>
  <c r="BJ15" i="3" s="1"/>
  <c r="BL15" i="3" s="1"/>
  <c r="BM15" i="3" s="1"/>
  <c r="D231" i="5"/>
  <c r="G18" i="19"/>
  <c r="D32" i="19"/>
  <c r="F18" i="19"/>
  <c r="C280" i="5"/>
  <c r="E273" i="19"/>
  <c r="D52" i="19"/>
  <c r="AY13" i="3"/>
  <c r="AW10" i="3"/>
  <c r="Y12" i="3"/>
  <c r="AY11" i="3"/>
  <c r="AU16" i="3"/>
  <c r="AW12" i="3"/>
  <c r="BH14" i="3"/>
  <c r="BJ14" i="3" s="1"/>
  <c r="BL14" i="3" s="1"/>
  <c r="BM14" i="3" s="1"/>
  <c r="BF16" i="3"/>
  <c r="AZ11" i="3"/>
  <c r="AG11" i="3" s="1"/>
  <c r="AX15" i="3"/>
  <c r="AF15" i="3" s="1"/>
  <c r="AX14" i="3"/>
  <c r="AX10" i="3"/>
  <c r="AV16" i="3"/>
  <c r="AX12" i="3"/>
  <c r="AF12" i="3" s="1"/>
  <c r="AZ13" i="3"/>
  <c r="AG13" i="3" s="1"/>
  <c r="BH10" i="3"/>
  <c r="BH11" i="3"/>
  <c r="BJ11" i="3" s="1"/>
  <c r="BL11" i="3" s="1"/>
  <c r="BM11" i="3" s="1"/>
  <c r="AW14" i="3"/>
  <c r="Y14" i="3"/>
  <c r="BH12" i="3"/>
  <c r="BJ12" i="3" s="1"/>
  <c r="BL12" i="3" s="1"/>
  <c r="BM12" i="3" s="1"/>
  <c r="BI10" i="3"/>
  <c r="BI16" i="3" s="1"/>
  <c r="BH13" i="3"/>
  <c r="BJ13" i="3" s="1"/>
  <c r="BL13" i="3" s="1"/>
  <c r="BM13" i="3" s="1"/>
  <c r="S12" i="3"/>
  <c r="T12" i="3" s="1"/>
  <c r="S14" i="3"/>
  <c r="T14" i="3" s="1"/>
  <c r="S15" i="3"/>
  <c r="T15" i="3" s="1"/>
  <c r="S11" i="3"/>
  <c r="T11" i="3" s="1"/>
  <c r="S13" i="3"/>
  <c r="T13" i="3" s="1"/>
  <c r="AA19" i="3"/>
  <c r="AA21" i="3" s="1"/>
  <c r="W19" i="3"/>
  <c r="W21" i="3" s="1"/>
  <c r="Z19" i="3"/>
  <c r="Z21" i="3" s="1"/>
  <c r="U19" i="3"/>
  <c r="U21" i="3" s="1"/>
  <c r="AB19" i="3"/>
  <c r="AB21" i="3" s="1"/>
  <c r="V19" i="3"/>
  <c r="V21" i="3" s="1"/>
  <c r="R16" i="3"/>
  <c r="Q10" i="3"/>
  <c r="F16" i="3"/>
  <c r="D234" i="5"/>
  <c r="F230" i="5"/>
  <c r="F25" i="5"/>
  <c r="F43" i="5"/>
  <c r="AS18" i="3" l="1"/>
  <c r="D275" i="19"/>
  <c r="D277" i="19" s="1"/>
  <c r="AF10" i="3"/>
  <c r="AD14" i="3"/>
  <c r="AF14" i="3"/>
  <c r="Y15" i="3"/>
  <c r="BE18" i="3"/>
  <c r="BG18" i="3" s="1"/>
  <c r="AD15" i="3"/>
  <c r="AT18" i="3"/>
  <c r="AS19" i="3"/>
  <c r="BD21" i="3" s="1"/>
  <c r="Y10" i="3"/>
  <c r="AY15" i="3"/>
  <c r="X16" i="3"/>
  <c r="Y16" i="3" s="1"/>
  <c r="H18" i="19"/>
  <c r="BA13" i="3"/>
  <c r="BB13" i="3" s="1"/>
  <c r="AH13" i="3" s="1"/>
  <c r="E32" i="19"/>
  <c r="C282" i="5"/>
  <c r="C284" i="5" s="1"/>
  <c r="B254" i="5"/>
  <c r="E52" i="19"/>
  <c r="AY12" i="3"/>
  <c r="BA11" i="3"/>
  <c r="BB11" i="3" s="1"/>
  <c r="AH11" i="3" s="1"/>
  <c r="AY14" i="3"/>
  <c r="AZ10" i="3"/>
  <c r="AX16" i="3"/>
  <c r="AZ12" i="3"/>
  <c r="AG12" i="3" s="1"/>
  <c r="AZ14" i="3"/>
  <c r="AG14" i="3" s="1"/>
  <c r="AW16" i="3"/>
  <c r="AE16" i="3"/>
  <c r="BH16" i="3"/>
  <c r="AZ15" i="3"/>
  <c r="AG15" i="3" s="1"/>
  <c r="AY10" i="3"/>
  <c r="AD11" i="3"/>
  <c r="AD13" i="3"/>
  <c r="AD12" i="3"/>
  <c r="BK10" i="3"/>
  <c r="BK16" i="3" s="1"/>
  <c r="AC16" i="3"/>
  <c r="AD10" i="3"/>
  <c r="BJ10" i="3"/>
  <c r="BJ16" i="3" s="1"/>
  <c r="H50" i="5"/>
  <c r="E11" i="6" s="1"/>
  <c r="D235" i="5"/>
  <c r="F235" i="5" s="1"/>
  <c r="H222" i="5"/>
  <c r="AN213" i="6"/>
  <c r="AN214" i="6" s="1"/>
  <c r="AN218" i="6" s="1"/>
  <c r="F231" i="5"/>
  <c r="H41" i="5"/>
  <c r="E196" i="6" s="1"/>
  <c r="H84" i="5"/>
  <c r="H66" i="5"/>
  <c r="H169" i="5"/>
  <c r="H36" i="5"/>
  <c r="E190" i="6" s="1"/>
  <c r="H35" i="5"/>
  <c r="E189" i="6" s="1"/>
  <c r="G21" i="5"/>
  <c r="D198" i="6" s="1"/>
  <c r="G33" i="5"/>
  <c r="D187" i="6" s="1"/>
  <c r="G19" i="5"/>
  <c r="D195" i="6" s="1"/>
  <c r="H210" i="5"/>
  <c r="H51" i="5"/>
  <c r="H161" i="5"/>
  <c r="H204" i="5"/>
  <c r="H227" i="5"/>
  <c r="H120" i="5"/>
  <c r="H63" i="5"/>
  <c r="H94" i="5"/>
  <c r="H92" i="5"/>
  <c r="H76" i="5"/>
  <c r="H209" i="5"/>
  <c r="H157" i="5"/>
  <c r="H49" i="5"/>
  <c r="H80" i="5"/>
  <c r="H61" i="5"/>
  <c r="H145" i="5"/>
  <c r="H121" i="5"/>
  <c r="H170" i="5"/>
  <c r="H115" i="5"/>
  <c r="H117" i="5"/>
  <c r="H55" i="5"/>
  <c r="H114" i="5"/>
  <c r="H23" i="5"/>
  <c r="E200" i="6" s="1"/>
  <c r="G40" i="5"/>
  <c r="D194" i="6" s="1"/>
  <c r="H150" i="5"/>
  <c r="H191" i="5"/>
  <c r="H109" i="5"/>
  <c r="H116" i="5"/>
  <c r="H40" i="5"/>
  <c r="E194" i="6" s="1"/>
  <c r="H19" i="5"/>
  <c r="E195" i="6" s="1"/>
  <c r="H34" i="5"/>
  <c r="E188" i="6" s="1"/>
  <c r="G38" i="5"/>
  <c r="D192" i="6" s="1"/>
  <c r="G35" i="5"/>
  <c r="D189" i="6" s="1"/>
  <c r="G31" i="5"/>
  <c r="D185" i="6" s="1"/>
  <c r="H100" i="5"/>
  <c r="H214" i="5"/>
  <c r="H156" i="5"/>
  <c r="H190" i="5"/>
  <c r="H62" i="5"/>
  <c r="H104" i="5"/>
  <c r="E65" i="6" s="1"/>
  <c r="R65" i="6" s="1"/>
  <c r="H124" i="5"/>
  <c r="H224" i="5"/>
  <c r="H90" i="5"/>
  <c r="H74" i="5"/>
  <c r="H180" i="5"/>
  <c r="H85" i="5"/>
  <c r="H187" i="5"/>
  <c r="H131" i="5"/>
  <c r="H148" i="5"/>
  <c r="H201" i="5"/>
  <c r="H183" i="5"/>
  <c r="H93" i="5"/>
  <c r="H144" i="5"/>
  <c r="H112" i="5"/>
  <c r="H54" i="5"/>
  <c r="G36" i="5"/>
  <c r="D190" i="6" s="1"/>
  <c r="H151" i="5"/>
  <c r="H184" i="5"/>
  <c r="H166" i="5"/>
  <c r="H78" i="5"/>
  <c r="H38" i="5"/>
  <c r="E192" i="6" s="1"/>
  <c r="G22" i="5"/>
  <c r="D199" i="6" s="1"/>
  <c r="G30" i="5"/>
  <c r="D184" i="6" s="1"/>
  <c r="H146" i="5"/>
  <c r="H79" i="5"/>
  <c r="H103" i="5"/>
  <c r="H186" i="5"/>
  <c r="H118" i="5"/>
  <c r="H153" i="5"/>
  <c r="H162" i="5"/>
  <c r="H96" i="5"/>
  <c r="H160" i="5"/>
  <c r="H226" i="5"/>
  <c r="H86" i="5"/>
  <c r="H67" i="5"/>
  <c r="H179" i="5"/>
  <c r="H225" i="5"/>
  <c r="H83" i="5"/>
  <c r="H73" i="5"/>
  <c r="H101" i="5"/>
  <c r="H126" i="5"/>
  <c r="H208" i="5"/>
  <c r="H185" i="5"/>
  <c r="H132" i="5"/>
  <c r="G39" i="5"/>
  <c r="D193" i="6" s="1"/>
  <c r="H106" i="5"/>
  <c r="H87" i="5"/>
  <c r="H57" i="5"/>
  <c r="H229" i="5"/>
  <c r="H20" i="5"/>
  <c r="E197" i="6" s="1"/>
  <c r="H22" i="5"/>
  <c r="E199" i="6" s="1"/>
  <c r="H31" i="5"/>
  <c r="E185" i="6" s="1"/>
  <c r="G41" i="5"/>
  <c r="D196" i="6" s="1"/>
  <c r="G20" i="5"/>
  <c r="D197" i="6" s="1"/>
  <c r="H219" i="5"/>
  <c r="H221" i="5"/>
  <c r="H181" i="5"/>
  <c r="H212" i="5"/>
  <c r="H81" i="5"/>
  <c r="H110" i="5"/>
  <c r="H53" i="5"/>
  <c r="H198" i="5"/>
  <c r="H217" i="5"/>
  <c r="H200" i="5"/>
  <c r="H220" i="5"/>
  <c r="H140" i="5"/>
  <c r="H71" i="5"/>
  <c r="H89" i="5"/>
  <c r="H99" i="5"/>
  <c r="H174" i="5"/>
  <c r="H143" i="5"/>
  <c r="H129" i="5"/>
  <c r="H193" i="5"/>
  <c r="H167" i="5"/>
  <c r="H72" i="5"/>
  <c r="H37" i="5"/>
  <c r="E191" i="6" s="1"/>
  <c r="H39" i="5"/>
  <c r="E193" i="6" s="1"/>
  <c r="H42" i="5"/>
  <c r="E210" i="6" s="1"/>
  <c r="G24" i="5"/>
  <c r="D201" i="6" s="1"/>
  <c r="G37" i="5"/>
  <c r="D191" i="6" s="1"/>
  <c r="H95" i="5"/>
  <c r="H136" i="5"/>
  <c r="H215" i="5"/>
  <c r="H176" i="5"/>
  <c r="H155" i="5"/>
  <c r="H64" i="5"/>
  <c r="H119" i="5"/>
  <c r="H97" i="5"/>
  <c r="H102" i="5"/>
  <c r="H175" i="5"/>
  <c r="H137" i="5"/>
  <c r="H177" i="5"/>
  <c r="H154" i="5"/>
  <c r="H111" i="5"/>
  <c r="H122" i="5"/>
  <c r="H159" i="5"/>
  <c r="H82" i="5"/>
  <c r="H123" i="5"/>
  <c r="H52" i="5"/>
  <c r="H205" i="5"/>
  <c r="H149" i="5"/>
  <c r="H59" i="5"/>
  <c r="H29" i="5"/>
  <c r="E183" i="6" s="1"/>
  <c r="H56" i="5"/>
  <c r="H58" i="5"/>
  <c r="H194" i="5"/>
  <c r="H134" i="5"/>
  <c r="H213" i="5"/>
  <c r="H30" i="5"/>
  <c r="E184" i="6" s="1"/>
  <c r="H21" i="5"/>
  <c r="E198" i="6" s="1"/>
  <c r="G34" i="5"/>
  <c r="D188" i="6" s="1"/>
  <c r="G42" i="5"/>
  <c r="D210" i="6" s="1"/>
  <c r="H70" i="5"/>
  <c r="H182" i="5"/>
  <c r="H165" i="5"/>
  <c r="H178" i="5"/>
  <c r="H133" i="5"/>
  <c r="H68" i="5"/>
  <c r="H60" i="5"/>
  <c r="H218" i="5"/>
  <c r="H108" i="5"/>
  <c r="H216" i="5"/>
  <c r="H130" i="5"/>
  <c r="H164" i="5"/>
  <c r="H88" i="5"/>
  <c r="H152" i="5"/>
  <c r="H172" i="5"/>
  <c r="H203" i="5"/>
  <c r="H192" i="5"/>
  <c r="H139" i="5"/>
  <c r="H202" i="5"/>
  <c r="H142" i="5"/>
  <c r="H158" i="5"/>
  <c r="H125" i="5"/>
  <c r="S10" i="3"/>
  <c r="Q16" i="3"/>
  <c r="Q19" i="3" s="1"/>
  <c r="Q21" i="3" s="1"/>
  <c r="H163" i="5"/>
  <c r="H24" i="5"/>
  <c r="E201" i="6" s="1"/>
  <c r="H33" i="5"/>
  <c r="E187" i="6" s="1"/>
  <c r="H32" i="5"/>
  <c r="E186" i="6" s="1"/>
  <c r="G23" i="5"/>
  <c r="D200" i="6" s="1"/>
  <c r="G29" i="5"/>
  <c r="D183" i="6" s="1"/>
  <c r="G32" i="5"/>
  <c r="D186" i="6" s="1"/>
  <c r="H188" i="5"/>
  <c r="H98" i="5"/>
  <c r="H91" i="5"/>
  <c r="H207" i="5"/>
  <c r="H105" i="5"/>
  <c r="H75" i="5"/>
  <c r="H199" i="5"/>
  <c r="H107" i="5"/>
  <c r="H196" i="5"/>
  <c r="H135" i="5"/>
  <c r="H141" i="5"/>
  <c r="H65" i="5"/>
  <c r="H228" i="5"/>
  <c r="H195" i="5"/>
  <c r="H189" i="5"/>
  <c r="H206" i="5"/>
  <c r="H168" i="5"/>
  <c r="H173" i="5"/>
  <c r="H138" i="5"/>
  <c r="H147" i="5"/>
  <c r="H171" i="5"/>
  <c r="H77" i="5"/>
  <c r="H69" i="5"/>
  <c r="H211" i="5"/>
  <c r="H127" i="5"/>
  <c r="H128" i="5"/>
  <c r="H223" i="5"/>
  <c r="H113" i="5"/>
  <c r="H197" i="5"/>
  <c r="G230" i="5"/>
  <c r="E275" i="19" l="1"/>
  <c r="E277" i="19" s="1"/>
  <c r="BF18" i="3"/>
  <c r="AC18" i="3" s="1"/>
  <c r="BE19" i="3"/>
  <c r="T10" i="3"/>
  <c r="Q23" i="20"/>
  <c r="AV18" i="3"/>
  <c r="AE18" i="3" s="1"/>
  <c r="T18" i="3"/>
  <c r="AG10" i="3"/>
  <c r="AT19" i="3"/>
  <c r="BE21" i="3" s="1"/>
  <c r="AU18" i="3"/>
  <c r="AO15" i="3"/>
  <c r="AS184" i="6"/>
  <c r="AT184" i="6" s="1"/>
  <c r="BF184" i="6"/>
  <c r="BF192" i="6"/>
  <c r="AS192" i="6"/>
  <c r="AT192" i="6" s="1"/>
  <c r="BF195" i="6"/>
  <c r="AS195" i="6"/>
  <c r="AT195" i="6" s="1"/>
  <c r="BF183" i="6"/>
  <c r="AS183" i="6"/>
  <c r="AS197" i="6"/>
  <c r="AT197" i="6" s="1"/>
  <c r="BF197" i="6"/>
  <c r="BF199" i="6"/>
  <c r="AS199" i="6"/>
  <c r="AS187" i="6"/>
  <c r="AT187" i="6" s="1"/>
  <c r="BF187" i="6"/>
  <c r="AO12" i="3"/>
  <c r="BF186" i="6"/>
  <c r="AS186" i="6"/>
  <c r="AT186" i="6" s="1"/>
  <c r="BF201" i="6"/>
  <c r="AS201" i="6"/>
  <c r="BF190" i="6"/>
  <c r="AS190" i="6"/>
  <c r="BF200" i="6"/>
  <c r="AS200" i="6"/>
  <c r="BF196" i="6"/>
  <c r="AS196" i="6"/>
  <c r="AT196" i="6" s="1"/>
  <c r="BF193" i="6"/>
  <c r="AS193" i="6"/>
  <c r="AT193" i="6" s="1"/>
  <c r="BF185" i="6"/>
  <c r="AS185" i="6"/>
  <c r="AS198" i="6"/>
  <c r="AT198" i="6" s="1"/>
  <c r="BF198" i="6"/>
  <c r="AO14" i="3"/>
  <c r="AS188" i="6"/>
  <c r="AT188" i="6" s="1"/>
  <c r="BF188" i="6"/>
  <c r="BF194" i="6"/>
  <c r="AS194" i="6"/>
  <c r="AT194" i="6" s="1"/>
  <c r="BF210" i="6"/>
  <c r="AS210" i="6"/>
  <c r="AT210" i="6" s="1"/>
  <c r="BF191" i="6"/>
  <c r="AS191" i="6"/>
  <c r="BF189" i="6"/>
  <c r="AS189" i="6"/>
  <c r="AT189" i="6" s="1"/>
  <c r="AO11" i="3"/>
  <c r="R23" i="20"/>
  <c r="AO13" i="3"/>
  <c r="BA12" i="3"/>
  <c r="BB12" i="3" s="1"/>
  <c r="AH12" i="3" s="1"/>
  <c r="BG19" i="3"/>
  <c r="I50" i="5"/>
  <c r="F11" i="6" s="1"/>
  <c r="Q11" i="6" s="1"/>
  <c r="C269" i="5"/>
  <c r="F236" i="5"/>
  <c r="BA14" i="3"/>
  <c r="BB14" i="3" s="1"/>
  <c r="AH14" i="3" s="1"/>
  <c r="BI18" i="3"/>
  <c r="BA15" i="3"/>
  <c r="BB15" i="3" s="1"/>
  <c r="AH15" i="3" s="1"/>
  <c r="AF16" i="3"/>
  <c r="BA10" i="3"/>
  <c r="BB10" i="3" s="1"/>
  <c r="AY16" i="3"/>
  <c r="AZ16" i="3"/>
  <c r="BL10" i="3"/>
  <c r="D237" i="5"/>
  <c r="I41" i="5"/>
  <c r="F196" i="6" s="1"/>
  <c r="Q196" i="6" s="1"/>
  <c r="I39" i="5"/>
  <c r="F193" i="6" s="1"/>
  <c r="Q193" i="6" s="1"/>
  <c r="I21" i="5"/>
  <c r="F198" i="6" s="1"/>
  <c r="Q198" i="6" s="1"/>
  <c r="I19" i="5"/>
  <c r="F195" i="6" s="1"/>
  <c r="I30" i="5"/>
  <c r="F184" i="6" s="1"/>
  <c r="Q184" i="6" s="1"/>
  <c r="I36" i="5"/>
  <c r="F190" i="6" s="1"/>
  <c r="Q190" i="6" s="1"/>
  <c r="I38" i="5"/>
  <c r="F192" i="6" s="1"/>
  <c r="Q192" i="6" s="1"/>
  <c r="G25" i="5"/>
  <c r="I34" i="5"/>
  <c r="F188" i="6" s="1"/>
  <c r="Q188" i="6" s="1"/>
  <c r="H43" i="5"/>
  <c r="I20" i="5"/>
  <c r="F197" i="6" s="1"/>
  <c r="Q197" i="6" s="1"/>
  <c r="I33" i="5"/>
  <c r="F187" i="6" s="1"/>
  <c r="Q187" i="6" s="1"/>
  <c r="I113" i="5"/>
  <c r="F74" i="6" s="1"/>
  <c r="Q74" i="6" s="1"/>
  <c r="E74" i="6"/>
  <c r="W186" i="6"/>
  <c r="U186" i="6"/>
  <c r="V186" i="6"/>
  <c r="AB186" i="6"/>
  <c r="AA186" i="6"/>
  <c r="Z186" i="6"/>
  <c r="I203" i="5"/>
  <c r="F164" i="6" s="1"/>
  <c r="Q164" i="6" s="1"/>
  <c r="E164" i="6"/>
  <c r="I56" i="5"/>
  <c r="F17" i="6" s="1"/>
  <c r="Q17" i="6" s="1"/>
  <c r="E17" i="6"/>
  <c r="I97" i="5"/>
  <c r="F58" i="6" s="1"/>
  <c r="Q58" i="6" s="1"/>
  <c r="E58" i="6"/>
  <c r="I167" i="5"/>
  <c r="F128" i="6" s="1"/>
  <c r="Q128" i="6" s="1"/>
  <c r="E128" i="6"/>
  <c r="I81" i="5"/>
  <c r="F42" i="6" s="1"/>
  <c r="Q42" i="6" s="1"/>
  <c r="E42" i="6"/>
  <c r="I185" i="5"/>
  <c r="F146" i="6" s="1"/>
  <c r="Q146" i="6" s="1"/>
  <c r="E146" i="6"/>
  <c r="I186" i="5"/>
  <c r="F147" i="6" s="1"/>
  <c r="Q147" i="6" s="1"/>
  <c r="E147" i="6"/>
  <c r="I144" i="5"/>
  <c r="F105" i="6" s="1"/>
  <c r="Q105" i="6" s="1"/>
  <c r="E105" i="6"/>
  <c r="I49" i="5"/>
  <c r="F10" i="6" s="1"/>
  <c r="E10" i="6"/>
  <c r="G43" i="5"/>
  <c r="I197" i="5"/>
  <c r="F158" i="6" s="1"/>
  <c r="Q158" i="6" s="1"/>
  <c r="E158" i="6"/>
  <c r="I211" i="5"/>
  <c r="F172" i="6" s="1"/>
  <c r="Q172" i="6" s="1"/>
  <c r="E172" i="6"/>
  <c r="I168" i="5"/>
  <c r="F129" i="6" s="1"/>
  <c r="Q129" i="6" s="1"/>
  <c r="E129" i="6"/>
  <c r="I196" i="5"/>
  <c r="F157" i="6" s="1"/>
  <c r="Q157" i="6" s="1"/>
  <c r="E157" i="6"/>
  <c r="I188" i="5"/>
  <c r="F149" i="6" s="1"/>
  <c r="Q149" i="6" s="1"/>
  <c r="E149" i="6"/>
  <c r="I192" i="5"/>
  <c r="F153" i="6" s="1"/>
  <c r="Q153" i="6" s="1"/>
  <c r="E153" i="6"/>
  <c r="I108" i="5"/>
  <c r="F69" i="6" s="1"/>
  <c r="Q69" i="6" s="1"/>
  <c r="E69" i="6"/>
  <c r="I70" i="5"/>
  <c r="F31" i="6" s="1"/>
  <c r="Q31" i="6" s="1"/>
  <c r="E31" i="6"/>
  <c r="I58" i="5"/>
  <c r="F19" i="6" s="1"/>
  <c r="Q19" i="6" s="1"/>
  <c r="E19" i="6"/>
  <c r="I82" i="5"/>
  <c r="F43" i="6" s="1"/>
  <c r="Q43" i="6" s="1"/>
  <c r="E43" i="6"/>
  <c r="I102" i="5"/>
  <c r="F63" i="6" s="1"/>
  <c r="Q63" i="6" s="1"/>
  <c r="E63" i="6"/>
  <c r="I95" i="5"/>
  <c r="F56" i="6" s="1"/>
  <c r="Q56" i="6" s="1"/>
  <c r="E56" i="6"/>
  <c r="I72" i="5"/>
  <c r="F33" i="6" s="1"/>
  <c r="Q33" i="6" s="1"/>
  <c r="E33" i="6"/>
  <c r="I71" i="5"/>
  <c r="F32" i="6" s="1"/>
  <c r="Q32" i="6" s="1"/>
  <c r="E32" i="6"/>
  <c r="I222" i="5"/>
  <c r="F202" i="6" s="1"/>
  <c r="Q202" i="6" s="1"/>
  <c r="E202" i="6"/>
  <c r="R185" i="6"/>
  <c r="I132" i="5"/>
  <c r="F93" i="6" s="1"/>
  <c r="Q93" i="6" s="1"/>
  <c r="E93" i="6"/>
  <c r="I179" i="5"/>
  <c r="F140" i="6" s="1"/>
  <c r="Q140" i="6" s="1"/>
  <c r="E140" i="6"/>
  <c r="I118" i="5"/>
  <c r="F79" i="6" s="1"/>
  <c r="Q79" i="6" s="1"/>
  <c r="E79" i="6"/>
  <c r="R192" i="6"/>
  <c r="I112" i="5"/>
  <c r="F73" i="6" s="1"/>
  <c r="Q73" i="6" s="1"/>
  <c r="E73" i="6"/>
  <c r="I85" i="5"/>
  <c r="F46" i="6" s="1"/>
  <c r="Q46" i="6" s="1"/>
  <c r="E46" i="6"/>
  <c r="I190" i="5"/>
  <c r="F151" i="6" s="1"/>
  <c r="Q151" i="6" s="1"/>
  <c r="E151" i="6"/>
  <c r="R195" i="6"/>
  <c r="I114" i="5"/>
  <c r="F75" i="6" s="1"/>
  <c r="Q75" i="6" s="1"/>
  <c r="E75" i="6"/>
  <c r="I80" i="5"/>
  <c r="F41" i="6" s="1"/>
  <c r="Q41" i="6" s="1"/>
  <c r="E41" i="6"/>
  <c r="I120" i="5"/>
  <c r="F81" i="6" s="1"/>
  <c r="Q81" i="6" s="1"/>
  <c r="E81" i="6"/>
  <c r="U198" i="6"/>
  <c r="AA198" i="6"/>
  <c r="Z198" i="6"/>
  <c r="V198" i="6"/>
  <c r="W198" i="6"/>
  <c r="AB198" i="6"/>
  <c r="R189" i="6"/>
  <c r="I32" i="5"/>
  <c r="F186" i="6" s="1"/>
  <c r="Q186" i="6" s="1"/>
  <c r="I223" i="5"/>
  <c r="F203" i="6" s="1"/>
  <c r="Q203" i="6" s="1"/>
  <c r="E203" i="6"/>
  <c r="I189" i="5"/>
  <c r="F150" i="6" s="1"/>
  <c r="Q150" i="6" s="1"/>
  <c r="E150" i="6"/>
  <c r="I199" i="5"/>
  <c r="F160" i="6" s="1"/>
  <c r="Q160" i="6" s="1"/>
  <c r="E160" i="6"/>
  <c r="D211" i="6"/>
  <c r="D214" i="6" s="1"/>
  <c r="Z183" i="6"/>
  <c r="W183" i="6"/>
  <c r="U183" i="6"/>
  <c r="AA183" i="6"/>
  <c r="V183" i="6"/>
  <c r="AB183" i="6"/>
  <c r="I172" i="5"/>
  <c r="F133" i="6" s="1"/>
  <c r="Q133" i="6" s="1"/>
  <c r="E133" i="6"/>
  <c r="I60" i="5"/>
  <c r="F21" i="6" s="1"/>
  <c r="Q21" i="6" s="1"/>
  <c r="E21" i="6"/>
  <c r="W188" i="6"/>
  <c r="AB188" i="6"/>
  <c r="AA188" i="6"/>
  <c r="U188" i="6"/>
  <c r="Z188" i="6"/>
  <c r="V188" i="6"/>
  <c r="R183" i="6"/>
  <c r="I122" i="5"/>
  <c r="F83" i="6" s="1"/>
  <c r="Q83" i="6" s="1"/>
  <c r="E83" i="6"/>
  <c r="I119" i="5"/>
  <c r="F80" i="6" s="1"/>
  <c r="Q80" i="6" s="1"/>
  <c r="E80" i="6"/>
  <c r="AB201" i="6"/>
  <c r="V201" i="6"/>
  <c r="W201" i="6"/>
  <c r="AA201" i="6"/>
  <c r="U201" i="6"/>
  <c r="Z201" i="6"/>
  <c r="I193" i="5"/>
  <c r="F154" i="6" s="1"/>
  <c r="Q154" i="6" s="1"/>
  <c r="E154" i="6"/>
  <c r="I220" i="5"/>
  <c r="F181" i="6" s="1"/>
  <c r="Q181" i="6" s="1"/>
  <c r="E181" i="6"/>
  <c r="I212" i="5"/>
  <c r="F173" i="6" s="1"/>
  <c r="Q173" i="6" s="1"/>
  <c r="E173" i="6"/>
  <c r="R197" i="6"/>
  <c r="I208" i="5"/>
  <c r="F169" i="6" s="1"/>
  <c r="Q169" i="6" s="1"/>
  <c r="E169" i="6"/>
  <c r="I86" i="5"/>
  <c r="F47" i="6" s="1"/>
  <c r="Q47" i="6" s="1"/>
  <c r="E47" i="6"/>
  <c r="I103" i="5"/>
  <c r="F64" i="6" s="1"/>
  <c r="Q64" i="6" s="1"/>
  <c r="E64" i="6"/>
  <c r="I78" i="5"/>
  <c r="F39" i="6" s="1"/>
  <c r="Q39" i="6" s="1"/>
  <c r="E39" i="6"/>
  <c r="I93" i="5"/>
  <c r="F54" i="6" s="1"/>
  <c r="Q54" i="6" s="1"/>
  <c r="E54" i="6"/>
  <c r="I74" i="5"/>
  <c r="F35" i="6" s="1"/>
  <c r="Q35" i="6" s="1"/>
  <c r="E35" i="6"/>
  <c r="I214" i="5"/>
  <c r="F175" i="6" s="1"/>
  <c r="Q175" i="6" s="1"/>
  <c r="E175" i="6"/>
  <c r="I116" i="5"/>
  <c r="F77" i="6" s="1"/>
  <c r="Q77" i="6" s="1"/>
  <c r="E77" i="6"/>
  <c r="I117" i="5"/>
  <c r="F78" i="6" s="1"/>
  <c r="Q78" i="6" s="1"/>
  <c r="E78" i="6"/>
  <c r="I157" i="5"/>
  <c r="F118" i="6" s="1"/>
  <c r="Q118" i="6" s="1"/>
  <c r="E118" i="6"/>
  <c r="I204" i="5"/>
  <c r="F165" i="6" s="1"/>
  <c r="Q165" i="6" s="1"/>
  <c r="E165" i="6"/>
  <c r="I227" i="5"/>
  <c r="F207" i="6" s="1"/>
  <c r="Q207" i="6" s="1"/>
  <c r="E207" i="6"/>
  <c r="I42" i="5"/>
  <c r="F210" i="6" s="1"/>
  <c r="Q210" i="6" s="1"/>
  <c r="I128" i="5"/>
  <c r="F89" i="6" s="1"/>
  <c r="Q89" i="6" s="1"/>
  <c r="E89" i="6"/>
  <c r="I77" i="5"/>
  <c r="F38" i="6" s="1"/>
  <c r="Q38" i="6" s="1"/>
  <c r="E38" i="6"/>
  <c r="I195" i="5"/>
  <c r="F156" i="6" s="1"/>
  <c r="Q156" i="6" s="1"/>
  <c r="E156" i="6"/>
  <c r="I75" i="5"/>
  <c r="F36" i="6" s="1"/>
  <c r="Q36" i="6" s="1"/>
  <c r="E36" i="6"/>
  <c r="U200" i="6"/>
  <c r="W200" i="6"/>
  <c r="AB200" i="6"/>
  <c r="Z200" i="6"/>
  <c r="V200" i="6"/>
  <c r="AA200" i="6"/>
  <c r="I125" i="5"/>
  <c r="F86" i="6" s="1"/>
  <c r="Q86" i="6" s="1"/>
  <c r="E86" i="6"/>
  <c r="I152" i="5"/>
  <c r="F113" i="6" s="1"/>
  <c r="Q113" i="6" s="1"/>
  <c r="E113" i="6"/>
  <c r="I68" i="5"/>
  <c r="F29" i="6" s="1"/>
  <c r="Q29" i="6" s="1"/>
  <c r="E29" i="6"/>
  <c r="R198" i="6"/>
  <c r="I59" i="5"/>
  <c r="F20" i="6" s="1"/>
  <c r="Q20" i="6" s="1"/>
  <c r="E20" i="6"/>
  <c r="I111" i="5"/>
  <c r="F72" i="6" s="1"/>
  <c r="Q72" i="6" s="1"/>
  <c r="E72" i="6"/>
  <c r="I64" i="5"/>
  <c r="F25" i="6" s="1"/>
  <c r="Q25" i="6" s="1"/>
  <c r="E25" i="6"/>
  <c r="R210" i="6"/>
  <c r="I129" i="5"/>
  <c r="F90" i="6" s="1"/>
  <c r="Q90" i="6" s="1"/>
  <c r="E90" i="6"/>
  <c r="I200" i="5"/>
  <c r="F161" i="6" s="1"/>
  <c r="Q161" i="6" s="1"/>
  <c r="E161" i="6"/>
  <c r="I181" i="5"/>
  <c r="F142" i="6" s="1"/>
  <c r="Q142" i="6" s="1"/>
  <c r="E142" i="6"/>
  <c r="I229" i="5"/>
  <c r="F209" i="6" s="1"/>
  <c r="Q209" i="6" s="1"/>
  <c r="E209" i="6"/>
  <c r="I126" i="5"/>
  <c r="F87" i="6" s="1"/>
  <c r="Q87" i="6" s="1"/>
  <c r="E87" i="6"/>
  <c r="I226" i="5"/>
  <c r="F206" i="6" s="1"/>
  <c r="Q206" i="6" s="1"/>
  <c r="E206" i="6"/>
  <c r="I79" i="5"/>
  <c r="F40" i="6" s="1"/>
  <c r="Q40" i="6" s="1"/>
  <c r="E40" i="6"/>
  <c r="I166" i="5"/>
  <c r="F127" i="6" s="1"/>
  <c r="Q127" i="6" s="1"/>
  <c r="E127" i="6"/>
  <c r="I183" i="5"/>
  <c r="F144" i="6" s="1"/>
  <c r="Q144" i="6" s="1"/>
  <c r="E144" i="6"/>
  <c r="I90" i="5"/>
  <c r="F51" i="6" s="1"/>
  <c r="Q51" i="6" s="1"/>
  <c r="E51" i="6"/>
  <c r="I100" i="5"/>
  <c r="F61" i="6" s="1"/>
  <c r="Q61" i="6" s="1"/>
  <c r="E61" i="6"/>
  <c r="I109" i="5"/>
  <c r="F70" i="6" s="1"/>
  <c r="Q70" i="6" s="1"/>
  <c r="E70" i="6"/>
  <c r="I115" i="5"/>
  <c r="F76" i="6" s="1"/>
  <c r="Q76" i="6" s="1"/>
  <c r="E76" i="6"/>
  <c r="I209" i="5"/>
  <c r="F170" i="6" s="1"/>
  <c r="Q170" i="6" s="1"/>
  <c r="E170" i="6"/>
  <c r="I161" i="5"/>
  <c r="F122" i="6" s="1"/>
  <c r="Q122" i="6" s="1"/>
  <c r="E122" i="6"/>
  <c r="R190" i="6"/>
  <c r="I55" i="5"/>
  <c r="F16" i="6" s="1"/>
  <c r="Q16" i="6" s="1"/>
  <c r="E16" i="6"/>
  <c r="I40" i="5"/>
  <c r="F194" i="6" s="1"/>
  <c r="Q194" i="6" s="1"/>
  <c r="I171" i="5"/>
  <c r="F132" i="6" s="1"/>
  <c r="Q132" i="6" s="1"/>
  <c r="E132" i="6"/>
  <c r="I228" i="5"/>
  <c r="F208" i="6" s="1"/>
  <c r="Q208" i="6" s="1"/>
  <c r="E208" i="6"/>
  <c r="I105" i="5"/>
  <c r="F66" i="6" s="1"/>
  <c r="Q66" i="6" s="1"/>
  <c r="E66" i="6"/>
  <c r="R186" i="6"/>
  <c r="I158" i="5"/>
  <c r="F119" i="6" s="1"/>
  <c r="Q119" i="6" s="1"/>
  <c r="E119" i="6"/>
  <c r="I88" i="5"/>
  <c r="F49" i="6" s="1"/>
  <c r="Q49" i="6" s="1"/>
  <c r="E49" i="6"/>
  <c r="I133" i="5"/>
  <c r="F94" i="6" s="1"/>
  <c r="Q94" i="6" s="1"/>
  <c r="E94" i="6"/>
  <c r="R184" i="6"/>
  <c r="I149" i="5"/>
  <c r="F110" i="6" s="1"/>
  <c r="Q110" i="6" s="1"/>
  <c r="E110" i="6"/>
  <c r="I154" i="5"/>
  <c r="F115" i="6" s="1"/>
  <c r="Q115" i="6" s="1"/>
  <c r="E115" i="6"/>
  <c r="I155" i="5"/>
  <c r="F116" i="6" s="1"/>
  <c r="Q116" i="6" s="1"/>
  <c r="E116" i="6"/>
  <c r="R193" i="6"/>
  <c r="I143" i="5"/>
  <c r="F104" i="6" s="1"/>
  <c r="Q104" i="6" s="1"/>
  <c r="E104" i="6"/>
  <c r="I217" i="5"/>
  <c r="F178" i="6" s="1"/>
  <c r="Q178" i="6" s="1"/>
  <c r="E178" i="6"/>
  <c r="I221" i="5"/>
  <c r="F182" i="6" s="1"/>
  <c r="Q182" i="6" s="1"/>
  <c r="E182" i="6"/>
  <c r="I57" i="5"/>
  <c r="F18" i="6" s="1"/>
  <c r="Q18" i="6" s="1"/>
  <c r="E18" i="6"/>
  <c r="I101" i="5"/>
  <c r="F62" i="6" s="1"/>
  <c r="Q62" i="6" s="1"/>
  <c r="E62" i="6"/>
  <c r="I160" i="5"/>
  <c r="F121" i="6" s="1"/>
  <c r="Q121" i="6" s="1"/>
  <c r="E121" i="6"/>
  <c r="I146" i="5"/>
  <c r="F107" i="6" s="1"/>
  <c r="Q107" i="6" s="1"/>
  <c r="E107" i="6"/>
  <c r="I184" i="5"/>
  <c r="F145" i="6" s="1"/>
  <c r="Q145" i="6" s="1"/>
  <c r="E145" i="6"/>
  <c r="I201" i="5"/>
  <c r="F162" i="6" s="1"/>
  <c r="Q162" i="6" s="1"/>
  <c r="E162" i="6"/>
  <c r="I224" i="5"/>
  <c r="F204" i="6" s="1"/>
  <c r="Q204" i="6" s="1"/>
  <c r="E204" i="6"/>
  <c r="U185" i="6"/>
  <c r="W185" i="6"/>
  <c r="AB185" i="6"/>
  <c r="AA185" i="6"/>
  <c r="V185" i="6"/>
  <c r="Z185" i="6"/>
  <c r="I191" i="5"/>
  <c r="F152" i="6" s="1"/>
  <c r="Q152" i="6" s="1"/>
  <c r="E152" i="6"/>
  <c r="I170" i="5"/>
  <c r="F131" i="6" s="1"/>
  <c r="Q131" i="6" s="1"/>
  <c r="E131" i="6"/>
  <c r="I76" i="5"/>
  <c r="F37" i="6" s="1"/>
  <c r="Q37" i="6" s="1"/>
  <c r="E37" i="6"/>
  <c r="I51" i="5"/>
  <c r="F12" i="6" s="1"/>
  <c r="Q12" i="6" s="1"/>
  <c r="E12" i="6"/>
  <c r="I169" i="5"/>
  <c r="F130" i="6" s="1"/>
  <c r="Q130" i="6" s="1"/>
  <c r="E130" i="6"/>
  <c r="I69" i="5"/>
  <c r="F30" i="6" s="1"/>
  <c r="Q30" i="6" s="1"/>
  <c r="E30" i="6"/>
  <c r="S16" i="3"/>
  <c r="S19" i="3" s="1"/>
  <c r="S21" i="3" s="1"/>
  <c r="Z210" i="6"/>
  <c r="V210" i="6"/>
  <c r="AB210" i="6"/>
  <c r="U210" i="6"/>
  <c r="AA210" i="6"/>
  <c r="W210" i="6"/>
  <c r="I159" i="5"/>
  <c r="F120" i="6" s="1"/>
  <c r="Q120" i="6" s="1"/>
  <c r="E120" i="6"/>
  <c r="I140" i="5"/>
  <c r="F101" i="6" s="1"/>
  <c r="Q101" i="6" s="1"/>
  <c r="E101" i="6"/>
  <c r="R194" i="6"/>
  <c r="I35" i="5"/>
  <c r="F189" i="6" s="1"/>
  <c r="Q189" i="6" s="1"/>
  <c r="I23" i="5"/>
  <c r="F200" i="6" s="1"/>
  <c r="Q200" i="6" s="1"/>
  <c r="H25" i="5"/>
  <c r="I147" i="5"/>
  <c r="F108" i="6" s="1"/>
  <c r="Q108" i="6" s="1"/>
  <c r="E108" i="6"/>
  <c r="I65" i="5"/>
  <c r="F26" i="6" s="1"/>
  <c r="Q26" i="6" s="1"/>
  <c r="E26" i="6"/>
  <c r="I207" i="5"/>
  <c r="F168" i="6" s="1"/>
  <c r="Q168" i="6" s="1"/>
  <c r="E168" i="6"/>
  <c r="R187" i="6"/>
  <c r="I142" i="5"/>
  <c r="F103" i="6" s="1"/>
  <c r="Q103" i="6" s="1"/>
  <c r="E103" i="6"/>
  <c r="I164" i="5"/>
  <c r="F125" i="6" s="1"/>
  <c r="Q125" i="6" s="1"/>
  <c r="E125" i="6"/>
  <c r="I178" i="5"/>
  <c r="F139" i="6" s="1"/>
  <c r="Q139" i="6" s="1"/>
  <c r="E139" i="6"/>
  <c r="I213" i="5"/>
  <c r="F174" i="6" s="1"/>
  <c r="Q174" i="6" s="1"/>
  <c r="E174" i="6"/>
  <c r="I205" i="5"/>
  <c r="F166" i="6" s="1"/>
  <c r="Q166" i="6" s="1"/>
  <c r="E166" i="6"/>
  <c r="I177" i="5"/>
  <c r="F138" i="6" s="1"/>
  <c r="Q138" i="6" s="1"/>
  <c r="E138" i="6"/>
  <c r="I176" i="5"/>
  <c r="F137" i="6" s="1"/>
  <c r="Q137" i="6" s="1"/>
  <c r="E137" i="6"/>
  <c r="R191" i="6"/>
  <c r="I174" i="5"/>
  <c r="F135" i="6" s="1"/>
  <c r="Q135" i="6" s="1"/>
  <c r="E135" i="6"/>
  <c r="I198" i="5"/>
  <c r="F159" i="6" s="1"/>
  <c r="Q159" i="6" s="1"/>
  <c r="E159" i="6"/>
  <c r="I219" i="5"/>
  <c r="F180" i="6" s="1"/>
  <c r="Q180" i="6" s="1"/>
  <c r="E180" i="6"/>
  <c r="I87" i="5"/>
  <c r="F48" i="6" s="1"/>
  <c r="Q48" i="6" s="1"/>
  <c r="E48" i="6"/>
  <c r="I73" i="5"/>
  <c r="F34" i="6" s="1"/>
  <c r="Q34" i="6" s="1"/>
  <c r="E34" i="6"/>
  <c r="I96" i="5"/>
  <c r="F57" i="6" s="1"/>
  <c r="Q57" i="6" s="1"/>
  <c r="E57" i="6"/>
  <c r="I151" i="5"/>
  <c r="F112" i="6" s="1"/>
  <c r="Q112" i="6" s="1"/>
  <c r="E112" i="6"/>
  <c r="I148" i="5"/>
  <c r="F109" i="6" s="1"/>
  <c r="Q109" i="6" s="1"/>
  <c r="E109" i="6"/>
  <c r="I124" i="5"/>
  <c r="F85" i="6" s="1"/>
  <c r="Q85" i="6" s="1"/>
  <c r="E85" i="6"/>
  <c r="AB189" i="6"/>
  <c r="AA189" i="6"/>
  <c r="U189" i="6"/>
  <c r="W189" i="6"/>
  <c r="Z189" i="6"/>
  <c r="V189" i="6"/>
  <c r="I150" i="5"/>
  <c r="F111" i="6" s="1"/>
  <c r="Q111" i="6" s="1"/>
  <c r="E111" i="6"/>
  <c r="I121" i="5"/>
  <c r="F82" i="6" s="1"/>
  <c r="Q82" i="6" s="1"/>
  <c r="E82" i="6"/>
  <c r="I92" i="5"/>
  <c r="F53" i="6" s="1"/>
  <c r="Q53" i="6" s="1"/>
  <c r="E53" i="6"/>
  <c r="I210" i="5"/>
  <c r="F171" i="6" s="1"/>
  <c r="Q171" i="6" s="1"/>
  <c r="E171" i="6"/>
  <c r="I66" i="5"/>
  <c r="F27" i="6" s="1"/>
  <c r="Q27" i="6" s="1"/>
  <c r="E27" i="6"/>
  <c r="I156" i="5"/>
  <c r="F117" i="6" s="1"/>
  <c r="Q117" i="6" s="1"/>
  <c r="E117" i="6"/>
  <c r="I22" i="5"/>
  <c r="F199" i="6" s="1"/>
  <c r="Q199" i="6" s="1"/>
  <c r="I37" i="5"/>
  <c r="F191" i="6" s="1"/>
  <c r="Q191" i="6" s="1"/>
  <c r="I138" i="5"/>
  <c r="F99" i="6" s="1"/>
  <c r="Q99" i="6" s="1"/>
  <c r="E99" i="6"/>
  <c r="I141" i="5"/>
  <c r="F102" i="6" s="1"/>
  <c r="Q102" i="6" s="1"/>
  <c r="E102" i="6"/>
  <c r="I91" i="5"/>
  <c r="F52" i="6" s="1"/>
  <c r="Q52" i="6" s="1"/>
  <c r="E52" i="6"/>
  <c r="R201" i="6"/>
  <c r="I202" i="5"/>
  <c r="F163" i="6" s="1"/>
  <c r="Q163" i="6" s="1"/>
  <c r="E163" i="6"/>
  <c r="I130" i="5"/>
  <c r="F91" i="6" s="1"/>
  <c r="Q91" i="6" s="1"/>
  <c r="E91" i="6"/>
  <c r="I165" i="5"/>
  <c r="F126" i="6" s="1"/>
  <c r="Q126" i="6" s="1"/>
  <c r="E126" i="6"/>
  <c r="I134" i="5"/>
  <c r="F95" i="6" s="1"/>
  <c r="Q95" i="6" s="1"/>
  <c r="E95" i="6"/>
  <c r="I52" i="5"/>
  <c r="F13" i="6" s="1"/>
  <c r="Q13" i="6" s="1"/>
  <c r="E13" i="6"/>
  <c r="I137" i="5"/>
  <c r="F98" i="6" s="1"/>
  <c r="Q98" i="6" s="1"/>
  <c r="E98" i="6"/>
  <c r="I215" i="5"/>
  <c r="F176" i="6" s="1"/>
  <c r="Q176" i="6" s="1"/>
  <c r="E176" i="6"/>
  <c r="R11" i="6"/>
  <c r="I99" i="5"/>
  <c r="F60" i="6" s="1"/>
  <c r="Q60" i="6" s="1"/>
  <c r="E60" i="6"/>
  <c r="I53" i="5"/>
  <c r="F14" i="6" s="1"/>
  <c r="Q14" i="6" s="1"/>
  <c r="E14" i="6"/>
  <c r="V197" i="6"/>
  <c r="AB197" i="6"/>
  <c r="Z197" i="6"/>
  <c r="W197" i="6"/>
  <c r="U197" i="6"/>
  <c r="AA197" i="6"/>
  <c r="I106" i="5"/>
  <c r="F67" i="6" s="1"/>
  <c r="Q67" i="6" s="1"/>
  <c r="E67" i="6"/>
  <c r="I83" i="5"/>
  <c r="F44" i="6" s="1"/>
  <c r="Q44" i="6" s="1"/>
  <c r="E44" i="6"/>
  <c r="I162" i="5"/>
  <c r="F123" i="6" s="1"/>
  <c r="Q123" i="6" s="1"/>
  <c r="E123" i="6"/>
  <c r="U184" i="6"/>
  <c r="AA184" i="6"/>
  <c r="V184" i="6"/>
  <c r="AB184" i="6"/>
  <c r="Z184" i="6"/>
  <c r="W184" i="6"/>
  <c r="W190" i="6"/>
  <c r="Z190" i="6"/>
  <c r="U190" i="6"/>
  <c r="AB190" i="6"/>
  <c r="AA190" i="6"/>
  <c r="V190" i="6"/>
  <c r="I131" i="5"/>
  <c r="F92" i="6" s="1"/>
  <c r="Q92" i="6" s="1"/>
  <c r="E92" i="6"/>
  <c r="I104" i="5"/>
  <c r="F65" i="6" s="1"/>
  <c r="Q65" i="6" s="1"/>
  <c r="AB192" i="6"/>
  <c r="V192" i="6"/>
  <c r="U192" i="6"/>
  <c r="AA192" i="6"/>
  <c r="W192" i="6"/>
  <c r="Z192" i="6"/>
  <c r="V194" i="6"/>
  <c r="U194" i="6"/>
  <c r="W194" i="6"/>
  <c r="AB194" i="6"/>
  <c r="Z194" i="6"/>
  <c r="AA194" i="6"/>
  <c r="I145" i="5"/>
  <c r="F106" i="6" s="1"/>
  <c r="Q106" i="6" s="1"/>
  <c r="E106" i="6"/>
  <c r="I94" i="5"/>
  <c r="F55" i="6" s="1"/>
  <c r="Q55" i="6" s="1"/>
  <c r="E55" i="6"/>
  <c r="U195" i="6"/>
  <c r="AA195" i="6"/>
  <c r="AB195" i="6"/>
  <c r="W195" i="6"/>
  <c r="V195" i="6"/>
  <c r="Z195" i="6"/>
  <c r="I84" i="5"/>
  <c r="F45" i="6" s="1"/>
  <c r="Q45" i="6" s="1"/>
  <c r="E45" i="6"/>
  <c r="I206" i="5"/>
  <c r="F167" i="6" s="1"/>
  <c r="Q167" i="6" s="1"/>
  <c r="E167" i="6"/>
  <c r="I107" i="5"/>
  <c r="F68" i="6" s="1"/>
  <c r="Q68" i="6" s="1"/>
  <c r="E68" i="6"/>
  <c r="I218" i="5"/>
  <c r="F179" i="6" s="1"/>
  <c r="Q179" i="6" s="1"/>
  <c r="E179" i="6"/>
  <c r="W191" i="6"/>
  <c r="AA191" i="6"/>
  <c r="U191" i="6"/>
  <c r="AB191" i="6"/>
  <c r="Z191" i="6"/>
  <c r="V191" i="6"/>
  <c r="R199" i="6"/>
  <c r="I67" i="5"/>
  <c r="F28" i="6" s="1"/>
  <c r="Q28" i="6" s="1"/>
  <c r="E28" i="6"/>
  <c r="I180" i="5"/>
  <c r="F141" i="6" s="1"/>
  <c r="Q141" i="6" s="1"/>
  <c r="E141" i="6"/>
  <c r="I29" i="5"/>
  <c r="F183" i="6" s="1"/>
  <c r="Q183" i="6" s="1"/>
  <c r="I31" i="5"/>
  <c r="F185" i="6" s="1"/>
  <c r="Q185" i="6" s="1"/>
  <c r="I24" i="5"/>
  <c r="F201" i="6" s="1"/>
  <c r="Q201" i="6" s="1"/>
  <c r="I127" i="5"/>
  <c r="F88" i="6" s="1"/>
  <c r="Q88" i="6" s="1"/>
  <c r="E88" i="6"/>
  <c r="I173" i="5"/>
  <c r="F134" i="6" s="1"/>
  <c r="Q134" i="6" s="1"/>
  <c r="E134" i="6"/>
  <c r="I135" i="5"/>
  <c r="F96" i="6" s="1"/>
  <c r="Q96" i="6" s="1"/>
  <c r="E96" i="6"/>
  <c r="I98" i="5"/>
  <c r="F59" i="6" s="1"/>
  <c r="Q59" i="6" s="1"/>
  <c r="E59" i="6"/>
  <c r="I163" i="5"/>
  <c r="F124" i="6" s="1"/>
  <c r="Q124" i="6" s="1"/>
  <c r="E124" i="6"/>
  <c r="I139" i="5"/>
  <c r="F100" i="6" s="1"/>
  <c r="Q100" i="6" s="1"/>
  <c r="E100" i="6"/>
  <c r="I216" i="5"/>
  <c r="F177" i="6" s="1"/>
  <c r="Q177" i="6" s="1"/>
  <c r="E177" i="6"/>
  <c r="I182" i="5"/>
  <c r="F143" i="6" s="1"/>
  <c r="Q143" i="6" s="1"/>
  <c r="E143" i="6"/>
  <c r="I194" i="5"/>
  <c r="F155" i="6" s="1"/>
  <c r="Q155" i="6" s="1"/>
  <c r="E155" i="6"/>
  <c r="I123" i="5"/>
  <c r="F84" i="6" s="1"/>
  <c r="Q84" i="6" s="1"/>
  <c r="E84" i="6"/>
  <c r="I175" i="5"/>
  <c r="F136" i="6" s="1"/>
  <c r="Q136" i="6" s="1"/>
  <c r="E136" i="6"/>
  <c r="I136" i="5"/>
  <c r="F97" i="6" s="1"/>
  <c r="Q97" i="6" s="1"/>
  <c r="E97" i="6"/>
  <c r="I89" i="5"/>
  <c r="F50" i="6" s="1"/>
  <c r="Q50" i="6" s="1"/>
  <c r="E50" i="6"/>
  <c r="I110" i="5"/>
  <c r="F71" i="6" s="1"/>
  <c r="Q71" i="6" s="1"/>
  <c r="E71" i="6"/>
  <c r="V196" i="6"/>
  <c r="U196" i="6"/>
  <c r="W196" i="6"/>
  <c r="AA196" i="6"/>
  <c r="AB196" i="6"/>
  <c r="Z196" i="6"/>
  <c r="Z193" i="6"/>
  <c r="V193" i="6"/>
  <c r="U193" i="6"/>
  <c r="W193" i="6"/>
  <c r="AB193" i="6"/>
  <c r="AA193" i="6"/>
  <c r="I225" i="5"/>
  <c r="F205" i="6" s="1"/>
  <c r="Q205" i="6" s="1"/>
  <c r="E205" i="6"/>
  <c r="I153" i="5"/>
  <c r="F114" i="6" s="1"/>
  <c r="Q114" i="6" s="1"/>
  <c r="E114" i="6"/>
  <c r="AB199" i="6"/>
  <c r="V199" i="6"/>
  <c r="U199" i="6"/>
  <c r="W199" i="6"/>
  <c r="Z199" i="6"/>
  <c r="AA199" i="6"/>
  <c r="I54" i="5"/>
  <c r="F15" i="6" s="1"/>
  <c r="Q15" i="6" s="1"/>
  <c r="E15" i="6"/>
  <c r="I187" i="5"/>
  <c r="F148" i="6" s="1"/>
  <c r="Q148" i="6" s="1"/>
  <c r="E148" i="6"/>
  <c r="I62" i="5"/>
  <c r="F23" i="6" s="1"/>
  <c r="Q23" i="6" s="1"/>
  <c r="E23" i="6"/>
  <c r="R188" i="6"/>
  <c r="R200" i="6"/>
  <c r="I61" i="5"/>
  <c r="F22" i="6" s="1"/>
  <c r="Q22" i="6" s="1"/>
  <c r="E22" i="6"/>
  <c r="I63" i="5"/>
  <c r="F24" i="6" s="1"/>
  <c r="Q24" i="6" s="1"/>
  <c r="E24" i="6"/>
  <c r="V187" i="6"/>
  <c r="W187" i="6"/>
  <c r="Z187" i="6"/>
  <c r="U187" i="6"/>
  <c r="AA187" i="6"/>
  <c r="AB187" i="6"/>
  <c r="R196" i="6"/>
  <c r="H230" i="5"/>
  <c r="BH18" i="3" l="1"/>
  <c r="BF19" i="3"/>
  <c r="P49" i="20"/>
  <c r="P33" i="20"/>
  <c r="G49" i="20"/>
  <c r="AX18" i="3"/>
  <c r="AV19" i="3"/>
  <c r="BG21" i="3" s="1"/>
  <c r="AU19" i="3"/>
  <c r="BF21" i="3" s="1"/>
  <c r="X18" i="3"/>
  <c r="Y18" i="3" s="1"/>
  <c r="BL16" i="3"/>
  <c r="BM16" i="3" s="1"/>
  <c r="BM10" i="3"/>
  <c r="AH10" i="3" s="1"/>
  <c r="AI10" i="3" s="1"/>
  <c r="AW18" i="3"/>
  <c r="Q195" i="6"/>
  <c r="S195" i="6" s="1"/>
  <c r="T16" i="3"/>
  <c r="T19" i="3" s="1"/>
  <c r="T21" i="3" s="1"/>
  <c r="AO10" i="3"/>
  <c r="AO16" i="3" s="1"/>
  <c r="AI13" i="3"/>
  <c r="AI11" i="3"/>
  <c r="AJ11" i="3" s="1"/>
  <c r="G32" i="19"/>
  <c r="AU187" i="6"/>
  <c r="X187" i="6" s="1"/>
  <c r="AV187" i="6"/>
  <c r="AT199" i="6"/>
  <c r="BG210" i="6"/>
  <c r="BI210" i="6" s="1"/>
  <c r="BK210" i="6" s="1"/>
  <c r="BM210" i="6" s="1"/>
  <c r="AU195" i="6"/>
  <c r="X195" i="6" s="1"/>
  <c r="AV195" i="6"/>
  <c r="BG200" i="6"/>
  <c r="BI200" i="6" s="1"/>
  <c r="BK200" i="6" s="1"/>
  <c r="BM200" i="6" s="1"/>
  <c r="BG198" i="6"/>
  <c r="BI198" i="6" s="1"/>
  <c r="BK198" i="6" s="1"/>
  <c r="BM198" i="6" s="1"/>
  <c r="AU193" i="6"/>
  <c r="X193" i="6" s="1"/>
  <c r="AV193" i="6"/>
  <c r="G52" i="19"/>
  <c r="F32" i="19"/>
  <c r="AU194" i="6"/>
  <c r="X194" i="6" s="1"/>
  <c r="AV194" i="6"/>
  <c r="BG199" i="6"/>
  <c r="BI199" i="6" s="1"/>
  <c r="BK199" i="6" s="1"/>
  <c r="BM199" i="6" s="1"/>
  <c r="AU192" i="6"/>
  <c r="X192" i="6" s="1"/>
  <c r="AV192" i="6"/>
  <c r="BG201" i="6"/>
  <c r="BI201" i="6" s="1"/>
  <c r="BK201" i="6" s="1"/>
  <c r="BM201" i="6" s="1"/>
  <c r="BG190" i="6"/>
  <c r="BI190" i="6" s="1"/>
  <c r="BK190" i="6" s="1"/>
  <c r="BM190" i="6" s="1"/>
  <c r="AT185" i="6"/>
  <c r="BG197" i="6"/>
  <c r="BI197" i="6" s="1"/>
  <c r="BK197" i="6" s="1"/>
  <c r="BM197" i="6" s="1"/>
  <c r="AT191" i="6"/>
  <c r="BG192" i="6"/>
  <c r="BI192" i="6" s="1"/>
  <c r="BK192" i="6" s="1"/>
  <c r="BM192" i="6" s="1"/>
  <c r="AU184" i="6"/>
  <c r="X184" i="6" s="1"/>
  <c r="AV184" i="6"/>
  <c r="C272" i="5"/>
  <c r="D269" i="5"/>
  <c r="D272" i="5" s="1"/>
  <c r="AT183" i="6"/>
  <c r="AS211" i="6"/>
  <c r="AT201" i="6"/>
  <c r="BG188" i="6"/>
  <c r="BI188" i="6" s="1"/>
  <c r="BK188" i="6" s="1"/>
  <c r="BM188" i="6" s="1"/>
  <c r="AT190" i="6"/>
  <c r="AU189" i="6"/>
  <c r="X189" i="6" s="1"/>
  <c r="AV189" i="6"/>
  <c r="BG185" i="6"/>
  <c r="BI185" i="6" s="1"/>
  <c r="BK185" i="6" s="1"/>
  <c r="BM185" i="6" s="1"/>
  <c r="AU196" i="6"/>
  <c r="X196" i="6" s="1"/>
  <c r="AV196" i="6"/>
  <c r="AU186" i="6"/>
  <c r="X186" i="6" s="1"/>
  <c r="AV186" i="6"/>
  <c r="AU197" i="6"/>
  <c r="X197" i="6" s="1"/>
  <c r="AV197" i="6"/>
  <c r="BG195" i="6"/>
  <c r="BI195" i="6" s="1"/>
  <c r="BK195" i="6" s="1"/>
  <c r="BM195" i="6" s="1"/>
  <c r="BG193" i="6"/>
  <c r="BI193" i="6" s="1"/>
  <c r="BK193" i="6" s="1"/>
  <c r="BM193" i="6" s="1"/>
  <c r="F52" i="19"/>
  <c r="BG194" i="6"/>
  <c r="BI194" i="6" s="1"/>
  <c r="BK194" i="6" s="1"/>
  <c r="BM194" i="6" s="1"/>
  <c r="BG187" i="6"/>
  <c r="BI187" i="6" s="1"/>
  <c r="BK187" i="6" s="1"/>
  <c r="BM187" i="6" s="1"/>
  <c r="BG191" i="6"/>
  <c r="BI191" i="6" s="1"/>
  <c r="BK191" i="6" s="1"/>
  <c r="BM191" i="6" s="1"/>
  <c r="AU210" i="6"/>
  <c r="AV210" i="6"/>
  <c r="BG184" i="6"/>
  <c r="BI184" i="6" s="1"/>
  <c r="BK184" i="6" s="1"/>
  <c r="BM184" i="6" s="1"/>
  <c r="AT200" i="6"/>
  <c r="BG183" i="6"/>
  <c r="BH183" i="6" s="1"/>
  <c r="AC183" i="6" s="1"/>
  <c r="BF211" i="6"/>
  <c r="AU198" i="6"/>
  <c r="X198" i="6" s="1"/>
  <c r="AV198" i="6"/>
  <c r="AE198" i="6" s="1"/>
  <c r="AU188" i="6"/>
  <c r="X188" i="6" s="1"/>
  <c r="AV188" i="6"/>
  <c r="AE188" i="6" s="1"/>
  <c r="H273" i="19"/>
  <c r="G273" i="19"/>
  <c r="BG189" i="6"/>
  <c r="BI189" i="6" s="1"/>
  <c r="BK189" i="6" s="1"/>
  <c r="BM189" i="6" s="1"/>
  <c r="BG196" i="6"/>
  <c r="BI196" i="6" s="1"/>
  <c r="BK196" i="6" s="1"/>
  <c r="BM196" i="6" s="1"/>
  <c r="BG186" i="6"/>
  <c r="BI186" i="6" s="1"/>
  <c r="BK186" i="6" s="1"/>
  <c r="BM186" i="6" s="1"/>
  <c r="BJ18" i="3"/>
  <c r="BJ19" i="3" s="1"/>
  <c r="BK18" i="3"/>
  <c r="BI19" i="3"/>
  <c r="AE19" i="3"/>
  <c r="AE21" i="3" s="1"/>
  <c r="BA16" i="3"/>
  <c r="AG16" i="3"/>
  <c r="AC19" i="3"/>
  <c r="AD18" i="3"/>
  <c r="BH19" i="3"/>
  <c r="S11" i="6"/>
  <c r="T11" i="6" s="1"/>
  <c r="S196" i="6"/>
  <c r="S198" i="6"/>
  <c r="T198" i="6" s="1"/>
  <c r="S197" i="6"/>
  <c r="G231" i="5"/>
  <c r="S193" i="6"/>
  <c r="T193" i="6" s="1"/>
  <c r="S189" i="6"/>
  <c r="T189" i="6" s="1"/>
  <c r="S187" i="6"/>
  <c r="S184" i="6"/>
  <c r="S192" i="6"/>
  <c r="T192" i="6" s="1"/>
  <c r="S190" i="6"/>
  <c r="T190" i="6" s="1"/>
  <c r="S185" i="6"/>
  <c r="T185" i="6" s="1"/>
  <c r="I25" i="5"/>
  <c r="S188" i="6"/>
  <c r="T188" i="6" s="1"/>
  <c r="H231" i="5"/>
  <c r="E213" i="6" s="1"/>
  <c r="S194" i="6"/>
  <c r="S191" i="6"/>
  <c r="S183" i="6"/>
  <c r="T183" i="6" s="1"/>
  <c r="R84" i="6"/>
  <c r="R134" i="6"/>
  <c r="R126" i="6"/>
  <c r="R47" i="6"/>
  <c r="R71" i="6"/>
  <c r="R141" i="6"/>
  <c r="R55" i="6"/>
  <c r="R92" i="6"/>
  <c r="R67" i="6"/>
  <c r="R85" i="6"/>
  <c r="R34" i="6"/>
  <c r="R135" i="6"/>
  <c r="R166" i="6"/>
  <c r="R103" i="6"/>
  <c r="R108" i="6"/>
  <c r="R101" i="6"/>
  <c r="R145" i="6"/>
  <c r="R18" i="6"/>
  <c r="R70" i="6"/>
  <c r="R127" i="6"/>
  <c r="R209" i="6"/>
  <c r="R83" i="6"/>
  <c r="R17" i="6"/>
  <c r="R114" i="6"/>
  <c r="R50" i="6"/>
  <c r="R28" i="6"/>
  <c r="R106" i="6"/>
  <c r="S199" i="6"/>
  <c r="R109" i="6"/>
  <c r="R48" i="6"/>
  <c r="R174" i="6"/>
  <c r="R120" i="6"/>
  <c r="R107" i="6"/>
  <c r="R182" i="6"/>
  <c r="R116" i="6"/>
  <c r="R94" i="6"/>
  <c r="R66" i="6"/>
  <c r="R122" i="6"/>
  <c r="R61" i="6"/>
  <c r="R40" i="6"/>
  <c r="R142" i="6"/>
  <c r="R25" i="6"/>
  <c r="R29" i="6"/>
  <c r="S210" i="6"/>
  <c r="AA211" i="6"/>
  <c r="Q10" i="6"/>
  <c r="R24" i="6"/>
  <c r="R23" i="6"/>
  <c r="R155" i="6"/>
  <c r="R124" i="6"/>
  <c r="R88" i="6"/>
  <c r="R167" i="6"/>
  <c r="R14" i="6"/>
  <c r="R98" i="6"/>
  <c r="R91" i="6"/>
  <c r="R102" i="6"/>
  <c r="R117" i="6"/>
  <c r="R82" i="6"/>
  <c r="R12" i="6"/>
  <c r="R156" i="6"/>
  <c r="R78" i="6"/>
  <c r="R54" i="6"/>
  <c r="R169" i="6"/>
  <c r="R154" i="6"/>
  <c r="R41" i="6"/>
  <c r="R46" i="6"/>
  <c r="R140" i="6"/>
  <c r="R32" i="6"/>
  <c r="R43" i="6"/>
  <c r="R153" i="6"/>
  <c r="R172" i="6"/>
  <c r="R105" i="6"/>
  <c r="R42" i="6"/>
  <c r="R164" i="6"/>
  <c r="R146" i="6"/>
  <c r="R205" i="6"/>
  <c r="R123" i="6"/>
  <c r="R112" i="6"/>
  <c r="R180" i="6"/>
  <c r="R137" i="6"/>
  <c r="R139" i="6"/>
  <c r="R168" i="6"/>
  <c r="S200" i="6"/>
  <c r="R204" i="6"/>
  <c r="R121" i="6"/>
  <c r="R178" i="6"/>
  <c r="R115" i="6"/>
  <c r="R49" i="6"/>
  <c r="R208" i="6"/>
  <c r="R170" i="6"/>
  <c r="R51" i="6"/>
  <c r="R206" i="6"/>
  <c r="R161" i="6"/>
  <c r="R72" i="6"/>
  <c r="R113" i="6"/>
  <c r="U211" i="6"/>
  <c r="R52" i="6"/>
  <c r="R152" i="6"/>
  <c r="R36" i="6"/>
  <c r="R118" i="6"/>
  <c r="R181" i="6"/>
  <c r="R203" i="6"/>
  <c r="R79" i="6"/>
  <c r="R63" i="6"/>
  <c r="R129" i="6"/>
  <c r="I43" i="5"/>
  <c r="R22" i="6"/>
  <c r="R148" i="6"/>
  <c r="R97" i="6"/>
  <c r="R143" i="6"/>
  <c r="R59" i="6"/>
  <c r="S201" i="6"/>
  <c r="R45" i="6"/>
  <c r="R60" i="6"/>
  <c r="R13" i="6"/>
  <c r="R163" i="6"/>
  <c r="R99" i="6"/>
  <c r="R27" i="6"/>
  <c r="R111" i="6"/>
  <c r="R37" i="6"/>
  <c r="R16" i="6"/>
  <c r="R38" i="6"/>
  <c r="R207" i="6"/>
  <c r="R77" i="6"/>
  <c r="R39" i="6"/>
  <c r="R21" i="6"/>
  <c r="AB211" i="6"/>
  <c r="W211" i="6"/>
  <c r="R160" i="6"/>
  <c r="S186" i="6"/>
  <c r="R75" i="6"/>
  <c r="R73" i="6"/>
  <c r="R93" i="6"/>
  <c r="R33" i="6"/>
  <c r="R19" i="6"/>
  <c r="R149" i="6"/>
  <c r="R158" i="6"/>
  <c r="R128" i="6"/>
  <c r="R44" i="6"/>
  <c r="R57" i="6"/>
  <c r="R159" i="6"/>
  <c r="R138" i="6"/>
  <c r="R125" i="6"/>
  <c r="R26" i="6"/>
  <c r="R162" i="6"/>
  <c r="R62" i="6"/>
  <c r="R104" i="6"/>
  <c r="R110" i="6"/>
  <c r="R119" i="6"/>
  <c r="R132" i="6"/>
  <c r="R76" i="6"/>
  <c r="R144" i="6"/>
  <c r="R87" i="6"/>
  <c r="R90" i="6"/>
  <c r="R20" i="6"/>
  <c r="R86" i="6"/>
  <c r="R80" i="6"/>
  <c r="V211" i="6"/>
  <c r="Z211" i="6"/>
  <c r="R74" i="6"/>
  <c r="R100" i="6"/>
  <c r="R68" i="6"/>
  <c r="R176" i="6"/>
  <c r="R53" i="6"/>
  <c r="R130" i="6"/>
  <c r="R35" i="6"/>
  <c r="R81" i="6"/>
  <c r="R151" i="6"/>
  <c r="R202" i="6"/>
  <c r="R69" i="6"/>
  <c r="R10" i="6"/>
  <c r="E211" i="6"/>
  <c r="I230" i="5"/>
  <c r="R15" i="6"/>
  <c r="R136" i="6"/>
  <c r="R177" i="6"/>
  <c r="R96" i="6"/>
  <c r="R179" i="6"/>
  <c r="R95" i="6"/>
  <c r="R171" i="6"/>
  <c r="R30" i="6"/>
  <c r="R131" i="6"/>
  <c r="R89" i="6"/>
  <c r="R165" i="6"/>
  <c r="R175" i="6"/>
  <c r="R64" i="6"/>
  <c r="R173" i="6"/>
  <c r="R133" i="6"/>
  <c r="R150" i="6"/>
  <c r="R56" i="6"/>
  <c r="R31" i="6"/>
  <c r="R157" i="6"/>
  <c r="R147" i="6"/>
  <c r="R58" i="6"/>
  <c r="T186" i="6" l="1"/>
  <c r="T194" i="6"/>
  <c r="P247" i="20"/>
  <c r="P251" i="20" s="1"/>
  <c r="AB213" i="6"/>
  <c r="V213" i="6"/>
  <c r="R213" i="6"/>
  <c r="U213" i="6"/>
  <c r="AA213" i="6"/>
  <c r="Z213" i="6"/>
  <c r="T197" i="6"/>
  <c r="T187" i="6"/>
  <c r="AE197" i="6"/>
  <c r="AE196" i="6"/>
  <c r="AE194" i="6"/>
  <c r="AE184" i="6"/>
  <c r="AE210" i="6"/>
  <c r="AE186" i="6"/>
  <c r="AE192" i="6"/>
  <c r="AE193" i="6"/>
  <c r="AE195" i="6"/>
  <c r="AE187" i="6"/>
  <c r="T201" i="6"/>
  <c r="T210" i="6"/>
  <c r="T199" i="6"/>
  <c r="T200" i="6"/>
  <c r="T191" i="6"/>
  <c r="T184" i="6"/>
  <c r="T196" i="6"/>
  <c r="X210" i="6"/>
  <c r="Y210" i="6" s="1"/>
  <c r="AE189" i="6"/>
  <c r="AZ18" i="3"/>
  <c r="AG18" i="3" s="1"/>
  <c r="AF18" i="3"/>
  <c r="AX19" i="3"/>
  <c r="BI21" i="3" s="1"/>
  <c r="AY18" i="3"/>
  <c r="T195" i="6"/>
  <c r="BB16" i="3"/>
  <c r="AW19" i="3"/>
  <c r="BH21" i="3" s="1"/>
  <c r="X19" i="3"/>
  <c r="F211" i="6"/>
  <c r="BF213" i="6"/>
  <c r="AS213" i="6"/>
  <c r="AT213" i="6" s="1"/>
  <c r="AO11" i="6"/>
  <c r="AI15" i="3"/>
  <c r="AI14" i="3"/>
  <c r="AI12" i="3"/>
  <c r="AJ12" i="3" s="1"/>
  <c r="AO18" i="3"/>
  <c r="O33" i="20"/>
  <c r="AJ13" i="3"/>
  <c r="AU199" i="6"/>
  <c r="AU201" i="6"/>
  <c r="X201" i="6" s="1"/>
  <c r="AU191" i="6"/>
  <c r="X191" i="6" s="1"/>
  <c r="AU185" i="6"/>
  <c r="X185" i="6" s="1"/>
  <c r="G275" i="19"/>
  <c r="BH192" i="6"/>
  <c r="AC192" i="6" s="1"/>
  <c r="BH197" i="6"/>
  <c r="AC197" i="6" s="1"/>
  <c r="BH194" i="6"/>
  <c r="AC194" i="6" s="1"/>
  <c r="BH188" i="6"/>
  <c r="AC188" i="6" s="1"/>
  <c r="BH210" i="6"/>
  <c r="AC210" i="6" s="1"/>
  <c r="AW189" i="6"/>
  <c r="H52" i="19"/>
  <c r="AW186" i="6"/>
  <c r="AW196" i="6"/>
  <c r="AV190" i="6"/>
  <c r="AE190" i="6" s="1"/>
  <c r="AX194" i="6"/>
  <c r="AF194" i="6" s="1"/>
  <c r="H32" i="19"/>
  <c r="T49" i="20"/>
  <c r="AV200" i="6"/>
  <c r="AE200" i="6" s="1"/>
  <c r="BH196" i="6"/>
  <c r="AC196" i="6" s="1"/>
  <c r="AX188" i="6"/>
  <c r="AF188" i="6" s="1"/>
  <c r="BH184" i="6"/>
  <c r="AC184" i="6" s="1"/>
  <c r="AW210" i="6"/>
  <c r="AX210" i="6"/>
  <c r="AF210" i="6" s="1"/>
  <c r="BH187" i="6"/>
  <c r="AC187" i="6" s="1"/>
  <c r="BH195" i="6"/>
  <c r="AC195" i="6" s="1"/>
  <c r="AX197" i="6"/>
  <c r="AF197" i="6" s="1"/>
  <c r="BH185" i="6"/>
  <c r="AC185" i="6" s="1"/>
  <c r="AV201" i="6"/>
  <c r="AE201" i="6" s="1"/>
  <c r="AW184" i="6"/>
  <c r="AV191" i="6"/>
  <c r="AE191" i="6" s="1"/>
  <c r="BH190" i="6"/>
  <c r="AC190" i="6" s="1"/>
  <c r="BH199" i="6"/>
  <c r="AC199" i="6" s="1"/>
  <c r="F275" i="19"/>
  <c r="AX193" i="6"/>
  <c r="AF193" i="6" s="1"/>
  <c r="BH200" i="6"/>
  <c r="AC200" i="6" s="1"/>
  <c r="AX195" i="6"/>
  <c r="AF195" i="6" s="1"/>
  <c r="AX187" i="6"/>
  <c r="AF187" i="6" s="1"/>
  <c r="N49" i="20"/>
  <c r="AW198" i="6"/>
  <c r="AX198" i="6"/>
  <c r="AF198" i="6" s="1"/>
  <c r="BI183" i="6"/>
  <c r="BG211" i="6"/>
  <c r="AW197" i="6"/>
  <c r="AX184" i="6"/>
  <c r="AF184" i="6" s="1"/>
  <c r="AW192" i="6"/>
  <c r="AX192" i="6"/>
  <c r="AF192" i="6" s="1"/>
  <c r="AW194" i="6"/>
  <c r="AW193" i="6"/>
  <c r="AW195" i="6"/>
  <c r="AV199" i="6"/>
  <c r="AE199" i="6" s="1"/>
  <c r="AW187" i="6"/>
  <c r="T33" i="20"/>
  <c r="W213" i="6"/>
  <c r="BH186" i="6"/>
  <c r="AC186" i="6" s="1"/>
  <c r="BH189" i="6"/>
  <c r="AC189" i="6" s="1"/>
  <c r="AW188" i="6"/>
  <c r="AU200" i="6"/>
  <c r="X200" i="6" s="1"/>
  <c r="BH191" i="6"/>
  <c r="AC191" i="6" s="1"/>
  <c r="BH193" i="6"/>
  <c r="AC193" i="6" s="1"/>
  <c r="Y192" i="6"/>
  <c r="AX186" i="6"/>
  <c r="AF186" i="6" s="1"/>
  <c r="AX196" i="6"/>
  <c r="AF196" i="6" s="1"/>
  <c r="AX189" i="6"/>
  <c r="AF189" i="6" s="1"/>
  <c r="AU190" i="6"/>
  <c r="X190" i="6" s="1"/>
  <c r="AU183" i="6"/>
  <c r="X183" i="6" s="1"/>
  <c r="AV183" i="6"/>
  <c r="AE183" i="6" s="1"/>
  <c r="AT211" i="6"/>
  <c r="AV185" i="6"/>
  <c r="AE185" i="6" s="1"/>
  <c r="BH201" i="6"/>
  <c r="AC201" i="6" s="1"/>
  <c r="O49" i="20"/>
  <c r="N33" i="20"/>
  <c r="BH198" i="6"/>
  <c r="AC198" i="6" s="1"/>
  <c r="AH16" i="3"/>
  <c r="BK19" i="3"/>
  <c r="BL18" i="3"/>
  <c r="BM18" i="3" s="1"/>
  <c r="BM19" i="3" s="1"/>
  <c r="H247" i="20"/>
  <c r="H251" i="20" s="1"/>
  <c r="S58" i="6"/>
  <c r="T58" i="6" s="1"/>
  <c r="S130" i="6"/>
  <c r="T130" i="6" s="1"/>
  <c r="S87" i="6"/>
  <c r="T87" i="6" s="1"/>
  <c r="S75" i="6"/>
  <c r="T75" i="6" s="1"/>
  <c r="S151" i="6"/>
  <c r="T151" i="6" s="1"/>
  <c r="S110" i="6"/>
  <c r="T110" i="6" s="1"/>
  <c r="S16" i="6"/>
  <c r="T16" i="6" s="1"/>
  <c r="S27" i="6"/>
  <c r="T27" i="6" s="1"/>
  <c r="S129" i="6"/>
  <c r="T129" i="6" s="1"/>
  <c r="S72" i="6"/>
  <c r="T72" i="6" s="1"/>
  <c r="S170" i="6"/>
  <c r="T170" i="6" s="1"/>
  <c r="S178" i="6"/>
  <c r="T178" i="6" s="1"/>
  <c r="S139" i="6"/>
  <c r="T139" i="6" s="1"/>
  <c r="S46" i="6"/>
  <c r="T46" i="6" s="1"/>
  <c r="S117" i="6"/>
  <c r="T117" i="6" s="1"/>
  <c r="S14" i="6"/>
  <c r="T14" i="6" s="1"/>
  <c r="S124" i="6"/>
  <c r="T124" i="6" s="1"/>
  <c r="S70" i="6"/>
  <c r="T70" i="6" s="1"/>
  <c r="S108" i="6"/>
  <c r="T108" i="6" s="1"/>
  <c r="S55" i="6"/>
  <c r="T55" i="6" s="1"/>
  <c r="S47" i="6"/>
  <c r="T47" i="6" s="1"/>
  <c r="S56" i="6"/>
  <c r="T56" i="6" s="1"/>
  <c r="S80" i="6"/>
  <c r="T80" i="6" s="1"/>
  <c r="S140" i="6"/>
  <c r="T140" i="6" s="1"/>
  <c r="S78" i="6"/>
  <c r="T78" i="6" s="1"/>
  <c r="S25" i="6"/>
  <c r="T25" i="6" s="1"/>
  <c r="S84" i="6"/>
  <c r="T84" i="6" s="1"/>
  <c r="S131" i="6"/>
  <c r="T131" i="6" s="1"/>
  <c r="S147" i="6"/>
  <c r="T147" i="6" s="1"/>
  <c r="S150" i="6"/>
  <c r="T150" i="6" s="1"/>
  <c r="S64" i="6"/>
  <c r="T64" i="6" s="1"/>
  <c r="S136" i="6"/>
  <c r="T136" i="6" s="1"/>
  <c r="S86" i="6"/>
  <c r="T86" i="6" s="1"/>
  <c r="S144" i="6"/>
  <c r="T144" i="6" s="1"/>
  <c r="S26" i="6"/>
  <c r="T26" i="6" s="1"/>
  <c r="S57" i="6"/>
  <c r="T57" i="6" s="1"/>
  <c r="S128" i="6"/>
  <c r="T128" i="6" s="1"/>
  <c r="S33" i="6"/>
  <c r="T33" i="6" s="1"/>
  <c r="S160" i="6"/>
  <c r="T160" i="6" s="1"/>
  <c r="S97" i="6"/>
  <c r="T97" i="6" s="1"/>
  <c r="S181" i="6"/>
  <c r="T181" i="6" s="1"/>
  <c r="S52" i="6"/>
  <c r="T52" i="6" s="1"/>
  <c r="S121" i="6"/>
  <c r="T121" i="6" s="1"/>
  <c r="S123" i="6"/>
  <c r="T123" i="6" s="1"/>
  <c r="S164" i="6"/>
  <c r="T164" i="6" s="1"/>
  <c r="S153" i="6"/>
  <c r="T153" i="6" s="1"/>
  <c r="S154" i="6"/>
  <c r="T154" i="6" s="1"/>
  <c r="S142" i="6"/>
  <c r="T142" i="6" s="1"/>
  <c r="S66" i="6"/>
  <c r="T66" i="6" s="1"/>
  <c r="S107" i="6"/>
  <c r="T107" i="6" s="1"/>
  <c r="S109" i="6"/>
  <c r="T109" i="6" s="1"/>
  <c r="S50" i="6"/>
  <c r="T50" i="6" s="1"/>
  <c r="S83" i="6"/>
  <c r="T83" i="6" s="1"/>
  <c r="S85" i="6"/>
  <c r="T85" i="6" s="1"/>
  <c r="S95" i="6"/>
  <c r="T95" i="6" s="1"/>
  <c r="S100" i="6"/>
  <c r="T100" i="6" s="1"/>
  <c r="S159" i="6"/>
  <c r="T159" i="6" s="1"/>
  <c r="S39" i="6"/>
  <c r="T39" i="6" s="1"/>
  <c r="S60" i="6"/>
  <c r="T60" i="6" s="1"/>
  <c r="S182" i="6"/>
  <c r="T182" i="6" s="1"/>
  <c r="S81" i="6"/>
  <c r="T81" i="6" s="1"/>
  <c r="S74" i="6"/>
  <c r="T74" i="6" s="1"/>
  <c r="S37" i="6"/>
  <c r="T37" i="6" s="1"/>
  <c r="S156" i="6"/>
  <c r="T156" i="6" s="1"/>
  <c r="S102" i="6"/>
  <c r="T102" i="6" s="1"/>
  <c r="S155" i="6"/>
  <c r="T155" i="6" s="1"/>
  <c r="S40" i="6"/>
  <c r="T40" i="6" s="1"/>
  <c r="S18" i="6"/>
  <c r="T18" i="6" s="1"/>
  <c r="S103" i="6"/>
  <c r="T103" i="6" s="1"/>
  <c r="S126" i="6"/>
  <c r="T126" i="6" s="1"/>
  <c r="S89" i="6"/>
  <c r="T89" i="6" s="1"/>
  <c r="S162" i="6"/>
  <c r="T162" i="6" s="1"/>
  <c r="S143" i="6"/>
  <c r="T143" i="6" s="1"/>
  <c r="S152" i="6"/>
  <c r="T152" i="6" s="1"/>
  <c r="S28" i="6"/>
  <c r="T28" i="6" s="1"/>
  <c r="S53" i="6"/>
  <c r="T53" i="6" s="1"/>
  <c r="S118" i="6"/>
  <c r="T118" i="6" s="1"/>
  <c r="S30" i="6"/>
  <c r="T30" i="6" s="1"/>
  <c r="S20" i="6"/>
  <c r="T20" i="6" s="1"/>
  <c r="S76" i="6"/>
  <c r="T76" i="6" s="1"/>
  <c r="S104" i="6"/>
  <c r="T104" i="6" s="1"/>
  <c r="S125" i="6"/>
  <c r="T125" i="6" s="1"/>
  <c r="S44" i="6"/>
  <c r="T44" i="6" s="1"/>
  <c r="S158" i="6"/>
  <c r="T158" i="6" s="1"/>
  <c r="S93" i="6"/>
  <c r="T93" i="6" s="1"/>
  <c r="S148" i="6"/>
  <c r="T148" i="6" s="1"/>
  <c r="S137" i="6"/>
  <c r="T137" i="6" s="1"/>
  <c r="S42" i="6"/>
  <c r="T42" i="6" s="1"/>
  <c r="S43" i="6"/>
  <c r="T43" i="6" s="1"/>
  <c r="S41" i="6"/>
  <c r="T41" i="6" s="1"/>
  <c r="S169" i="6"/>
  <c r="T169" i="6" s="1"/>
  <c r="S167" i="6"/>
  <c r="T167" i="6" s="1"/>
  <c r="S94" i="6"/>
  <c r="T94" i="6" s="1"/>
  <c r="S120" i="6"/>
  <c r="T120" i="6" s="1"/>
  <c r="S114" i="6"/>
  <c r="T114" i="6" s="1"/>
  <c r="S19" i="6"/>
  <c r="T19" i="6" s="1"/>
  <c r="S112" i="6"/>
  <c r="T112" i="6" s="1"/>
  <c r="S34" i="6"/>
  <c r="T34" i="6" s="1"/>
  <c r="S77" i="6"/>
  <c r="T77" i="6" s="1"/>
  <c r="S45" i="6"/>
  <c r="T45" i="6" s="1"/>
  <c r="S161" i="6"/>
  <c r="T161" i="6" s="1"/>
  <c r="S208" i="6"/>
  <c r="T208" i="6" s="1"/>
  <c r="S90" i="6"/>
  <c r="T90" i="6" s="1"/>
  <c r="S132" i="6"/>
  <c r="T132" i="6" s="1"/>
  <c r="S207" i="6"/>
  <c r="T207" i="6" s="1"/>
  <c r="S163" i="6"/>
  <c r="T163" i="6" s="1"/>
  <c r="S79" i="6"/>
  <c r="T79" i="6" s="1"/>
  <c r="S36" i="6"/>
  <c r="T36" i="6" s="1"/>
  <c r="S206" i="6"/>
  <c r="T206" i="6" s="1"/>
  <c r="S49" i="6"/>
  <c r="T49" i="6" s="1"/>
  <c r="S204" i="6"/>
  <c r="T204" i="6" s="1"/>
  <c r="S205" i="6"/>
  <c r="T205" i="6" s="1"/>
  <c r="S32" i="6"/>
  <c r="T32" i="6" s="1"/>
  <c r="S12" i="6"/>
  <c r="T12" i="6" s="1"/>
  <c r="S91" i="6"/>
  <c r="T91" i="6" s="1"/>
  <c r="S23" i="6"/>
  <c r="T23" i="6" s="1"/>
  <c r="S29" i="6"/>
  <c r="T29" i="6" s="1"/>
  <c r="S116" i="6"/>
  <c r="T116" i="6" s="1"/>
  <c r="S106" i="6"/>
  <c r="T106" i="6" s="1"/>
  <c r="S209" i="6"/>
  <c r="T209" i="6" s="1"/>
  <c r="S145" i="6"/>
  <c r="T145" i="6" s="1"/>
  <c r="S166" i="6"/>
  <c r="T166" i="6" s="1"/>
  <c r="S67" i="6"/>
  <c r="T67" i="6" s="1"/>
  <c r="S141" i="6"/>
  <c r="T141" i="6" s="1"/>
  <c r="S99" i="6"/>
  <c r="T99" i="6" s="1"/>
  <c r="S63" i="6"/>
  <c r="T63" i="6" s="1"/>
  <c r="S175" i="6"/>
  <c r="T175" i="6" s="1"/>
  <c r="S179" i="6"/>
  <c r="T179" i="6" s="1"/>
  <c r="S69" i="6"/>
  <c r="T69" i="6" s="1"/>
  <c r="S133" i="6"/>
  <c r="T133" i="6" s="1"/>
  <c r="S96" i="6"/>
  <c r="T96" i="6" s="1"/>
  <c r="S35" i="6"/>
  <c r="T35" i="6" s="1"/>
  <c r="S176" i="6"/>
  <c r="T176" i="6" s="1"/>
  <c r="S31" i="6"/>
  <c r="T31" i="6" s="1"/>
  <c r="S165" i="6"/>
  <c r="T165" i="6" s="1"/>
  <c r="S171" i="6"/>
  <c r="T171" i="6" s="1"/>
  <c r="S15" i="6"/>
  <c r="T15" i="6" s="1"/>
  <c r="S62" i="6"/>
  <c r="T62" i="6" s="1"/>
  <c r="S138" i="6"/>
  <c r="T138" i="6" s="1"/>
  <c r="S65" i="6"/>
  <c r="T65" i="6" s="1"/>
  <c r="S149" i="6"/>
  <c r="T149" i="6" s="1"/>
  <c r="S73" i="6"/>
  <c r="T73" i="6" s="1"/>
  <c r="S59" i="6"/>
  <c r="T59" i="6" s="1"/>
  <c r="S22" i="6"/>
  <c r="T22" i="6" s="1"/>
  <c r="S115" i="6"/>
  <c r="T115" i="6" s="1"/>
  <c r="S180" i="6"/>
  <c r="T180" i="6" s="1"/>
  <c r="S105" i="6"/>
  <c r="T105" i="6" s="1"/>
  <c r="S54" i="6"/>
  <c r="T54" i="6" s="1"/>
  <c r="S61" i="6"/>
  <c r="T61" i="6" s="1"/>
  <c r="S174" i="6"/>
  <c r="T174" i="6" s="1"/>
  <c r="S17" i="6"/>
  <c r="T17" i="6" s="1"/>
  <c r="S134" i="6"/>
  <c r="T134" i="6" s="1"/>
  <c r="S173" i="6"/>
  <c r="T173" i="6" s="1"/>
  <c r="S119" i="6"/>
  <c r="T119" i="6" s="1"/>
  <c r="S168" i="6"/>
  <c r="T168" i="6" s="1"/>
  <c r="S172" i="6"/>
  <c r="T172" i="6" s="1"/>
  <c r="S48" i="6"/>
  <c r="T48" i="6" s="1"/>
  <c r="S157" i="6"/>
  <c r="T157" i="6" s="1"/>
  <c r="S177" i="6"/>
  <c r="T177" i="6" s="1"/>
  <c r="S202" i="6"/>
  <c r="T202" i="6" s="1"/>
  <c r="S68" i="6"/>
  <c r="T68" i="6" s="1"/>
  <c r="S21" i="6"/>
  <c r="T21" i="6" s="1"/>
  <c r="S38" i="6"/>
  <c r="T38" i="6" s="1"/>
  <c r="S111" i="6"/>
  <c r="T111" i="6" s="1"/>
  <c r="S13" i="6"/>
  <c r="T13" i="6" s="1"/>
  <c r="S203" i="6"/>
  <c r="T203" i="6" s="1"/>
  <c r="S113" i="6"/>
  <c r="T113" i="6" s="1"/>
  <c r="S51" i="6"/>
  <c r="T51" i="6" s="1"/>
  <c r="S146" i="6"/>
  <c r="T146" i="6" s="1"/>
  <c r="S82" i="6"/>
  <c r="T82" i="6" s="1"/>
  <c r="S98" i="6"/>
  <c r="T98" i="6" s="1"/>
  <c r="S88" i="6"/>
  <c r="T88" i="6" s="1"/>
  <c r="S24" i="6"/>
  <c r="T24" i="6" s="1"/>
  <c r="S122" i="6"/>
  <c r="T122" i="6" s="1"/>
  <c r="S127" i="6"/>
  <c r="T127" i="6" s="1"/>
  <c r="S101" i="6"/>
  <c r="T101" i="6" s="1"/>
  <c r="S135" i="6"/>
  <c r="T135" i="6" s="1"/>
  <c r="S92" i="6"/>
  <c r="T92" i="6" s="1"/>
  <c r="S71" i="6"/>
  <c r="T71" i="6" s="1"/>
  <c r="I231" i="5"/>
  <c r="S213" i="6"/>
  <c r="E214" i="6"/>
  <c r="F214" i="6" s="1"/>
  <c r="R211" i="6"/>
  <c r="S10" i="6"/>
  <c r="T10" i="6" s="1"/>
  <c r="Q211" i="6"/>
  <c r="Q216" i="6" s="1"/>
  <c r="H275" i="19" l="1"/>
  <c r="N247" i="20"/>
  <c r="O247" i="20"/>
  <c r="O251" i="20" s="1"/>
  <c r="BA18" i="3"/>
  <c r="BB18" i="3" s="1"/>
  <c r="AH18" i="3" s="1"/>
  <c r="V33" i="20"/>
  <c r="X199" i="6"/>
  <c r="Y199" i="6" s="1"/>
  <c r="G33" i="20"/>
  <c r="AY19" i="3"/>
  <c r="BJ21" i="3" s="1"/>
  <c r="AF19" i="3"/>
  <c r="AF21" i="3" s="1"/>
  <c r="AZ19" i="3"/>
  <c r="BK21" i="3" s="1"/>
  <c r="R216" i="6"/>
  <c r="AJ14" i="3"/>
  <c r="AO92" i="6"/>
  <c r="AO203" i="6"/>
  <c r="AO119" i="6"/>
  <c r="AO73" i="6"/>
  <c r="AO31" i="6"/>
  <c r="AO67" i="6"/>
  <c r="AO204" i="6"/>
  <c r="AO77" i="6"/>
  <c r="AO137" i="6"/>
  <c r="AO20" i="6"/>
  <c r="AO89" i="6"/>
  <c r="AO60" i="6"/>
  <c r="AO50" i="6"/>
  <c r="AO123" i="6"/>
  <c r="AO136" i="6"/>
  <c r="AO47" i="6"/>
  <c r="AO135" i="6"/>
  <c r="AO24" i="6"/>
  <c r="AO146" i="6"/>
  <c r="AO13" i="6"/>
  <c r="AO68" i="6"/>
  <c r="AO48" i="6"/>
  <c r="AO173" i="6"/>
  <c r="AO61" i="6"/>
  <c r="AO115" i="6"/>
  <c r="AO149" i="6"/>
  <c r="AO15" i="6"/>
  <c r="AO176" i="6"/>
  <c r="AO69" i="6"/>
  <c r="AO99" i="6"/>
  <c r="AO166" i="6"/>
  <c r="AO116" i="6"/>
  <c r="AO12" i="6"/>
  <c r="AO49" i="6"/>
  <c r="AO163" i="6"/>
  <c r="AO208" i="6"/>
  <c r="AO34" i="6"/>
  <c r="AO120" i="6"/>
  <c r="AO41" i="6"/>
  <c r="AO148" i="6"/>
  <c r="AO125" i="6"/>
  <c r="AO30" i="6"/>
  <c r="AO152" i="6"/>
  <c r="AO126" i="6"/>
  <c r="AO155" i="6"/>
  <c r="AO74" i="6"/>
  <c r="AO39" i="6"/>
  <c r="AO109" i="6"/>
  <c r="AO154" i="6"/>
  <c r="AO121" i="6"/>
  <c r="AO160" i="6"/>
  <c r="AO26" i="6"/>
  <c r="AO64" i="6"/>
  <c r="AO84" i="6"/>
  <c r="AO80" i="6"/>
  <c r="AO55" i="6"/>
  <c r="AO14" i="6"/>
  <c r="AO178" i="6"/>
  <c r="AO27" i="6"/>
  <c r="AO75" i="6"/>
  <c r="E216" i="6"/>
  <c r="AO82" i="6"/>
  <c r="AO157" i="6"/>
  <c r="AO180" i="6"/>
  <c r="AO133" i="6"/>
  <c r="AO106" i="6"/>
  <c r="AO90" i="6"/>
  <c r="AO40" i="6"/>
  <c r="AO51" i="6"/>
  <c r="AO202" i="6"/>
  <c r="AO134" i="6"/>
  <c r="AO22" i="6"/>
  <c r="AO35" i="6"/>
  <c r="AO145" i="6"/>
  <c r="AO32" i="6"/>
  <c r="AO207" i="6"/>
  <c r="AO161" i="6"/>
  <c r="AO112" i="6"/>
  <c r="AO43" i="6"/>
  <c r="AO93" i="6"/>
  <c r="AO104" i="6"/>
  <c r="AO118" i="6"/>
  <c r="AO143" i="6"/>
  <c r="AO103" i="6"/>
  <c r="AO102" i="6"/>
  <c r="AO81" i="6"/>
  <c r="AO159" i="6"/>
  <c r="AO85" i="6"/>
  <c r="AO107" i="6"/>
  <c r="AO153" i="6"/>
  <c r="AO52" i="6"/>
  <c r="AO33" i="6"/>
  <c r="AO144" i="6"/>
  <c r="AO150" i="6"/>
  <c r="AO25" i="6"/>
  <c r="AO56" i="6"/>
  <c r="AO108" i="6"/>
  <c r="AO117" i="6"/>
  <c r="AO170" i="6"/>
  <c r="AO16" i="6"/>
  <c r="AO87" i="6"/>
  <c r="AO122" i="6"/>
  <c r="AO21" i="6"/>
  <c r="AO174" i="6"/>
  <c r="AO62" i="6"/>
  <c r="AO63" i="6"/>
  <c r="AO91" i="6"/>
  <c r="AO79" i="6"/>
  <c r="AO114" i="6"/>
  <c r="AO169" i="6"/>
  <c r="AO44" i="6"/>
  <c r="AO28" i="6"/>
  <c r="AO37" i="6"/>
  <c r="AO95" i="6"/>
  <c r="AO142" i="6"/>
  <c r="AO97" i="6"/>
  <c r="AO57" i="6"/>
  <c r="AO131" i="6"/>
  <c r="AO140" i="6"/>
  <c r="AO124" i="6"/>
  <c r="AO139" i="6"/>
  <c r="AO129" i="6"/>
  <c r="AO151" i="6"/>
  <c r="AO58" i="6"/>
  <c r="AO101" i="6"/>
  <c r="AO88" i="6"/>
  <c r="AO111" i="6"/>
  <c r="AO172" i="6"/>
  <c r="AO54" i="6"/>
  <c r="AO171" i="6"/>
  <c r="AO179" i="6"/>
  <c r="AO29" i="6"/>
  <c r="AO206" i="6"/>
  <c r="AO94" i="6"/>
  <c r="AO10" i="6"/>
  <c r="AO71" i="6"/>
  <c r="AO127" i="6"/>
  <c r="AO98" i="6"/>
  <c r="AO113" i="6"/>
  <c r="AO38" i="6"/>
  <c r="AO177" i="6"/>
  <c r="AO168" i="6"/>
  <c r="AO17" i="6"/>
  <c r="AO105" i="6"/>
  <c r="AO59" i="6"/>
  <c r="AO138" i="6"/>
  <c r="AO165" i="6"/>
  <c r="AO96" i="6"/>
  <c r="AO175" i="6"/>
  <c r="AO141" i="6"/>
  <c r="AO209" i="6"/>
  <c r="AO23" i="6"/>
  <c r="AO205" i="6"/>
  <c r="AO36" i="6"/>
  <c r="AO132" i="6"/>
  <c r="AO45" i="6"/>
  <c r="AO19" i="6"/>
  <c r="AO167" i="6"/>
  <c r="AO42" i="6"/>
  <c r="AO158" i="6"/>
  <c r="AO76" i="6"/>
  <c r="AO53" i="6"/>
  <c r="AO162" i="6"/>
  <c r="AO18" i="6"/>
  <c r="AO156" i="6"/>
  <c r="AO182" i="6"/>
  <c r="AO100" i="6"/>
  <c r="AO83" i="6"/>
  <c r="AO66" i="6"/>
  <c r="AO164" i="6"/>
  <c r="AO181" i="6"/>
  <c r="AO128" i="6"/>
  <c r="AO86" i="6"/>
  <c r="AO147" i="6"/>
  <c r="AO78" i="6"/>
  <c r="AO70" i="6"/>
  <c r="AO46" i="6"/>
  <c r="AO72" i="6"/>
  <c r="AO110" i="6"/>
  <c r="AO130" i="6"/>
  <c r="AO65" i="6"/>
  <c r="I49" i="20"/>
  <c r="AJ15" i="3"/>
  <c r="BJ192" i="6"/>
  <c r="BL192" i="6" s="1"/>
  <c r="BN192" i="6" s="1"/>
  <c r="BJ194" i="6"/>
  <c r="BL194" i="6" s="1"/>
  <c r="BN194" i="6" s="1"/>
  <c r="Y198" i="6"/>
  <c r="BJ210" i="6"/>
  <c r="BL210" i="6" s="1"/>
  <c r="BN210" i="6" s="1"/>
  <c r="BJ197" i="6"/>
  <c r="BL197" i="6" s="1"/>
  <c r="BN197" i="6" s="1"/>
  <c r="AY194" i="6"/>
  <c r="AY192" i="6"/>
  <c r="AS214" i="6"/>
  <c r="AT214" i="6"/>
  <c r="AY193" i="6"/>
  <c r="AY196" i="6"/>
  <c r="AY187" i="6"/>
  <c r="AY184" i="6"/>
  <c r="BJ188" i="6"/>
  <c r="BL188" i="6" s="1"/>
  <c r="BN188" i="6" s="1"/>
  <c r="AY198" i="6"/>
  <c r="AY195" i="6"/>
  <c r="AX185" i="6"/>
  <c r="AF185" i="6" s="1"/>
  <c r="AZ189" i="6"/>
  <c r="AG189" i="6" s="1"/>
  <c r="Y195" i="6"/>
  <c r="Y194" i="6"/>
  <c r="BJ185" i="6"/>
  <c r="BL185" i="6" s="1"/>
  <c r="BN185" i="6" s="1"/>
  <c r="AZ197" i="6"/>
  <c r="AG197" i="6" s="1"/>
  <c r="BJ187" i="6"/>
  <c r="BL187" i="6" s="1"/>
  <c r="BN187" i="6" s="1"/>
  <c r="BJ184" i="6"/>
  <c r="BL184" i="6" s="1"/>
  <c r="BN184" i="6" s="1"/>
  <c r="AZ188" i="6"/>
  <c r="AG188" i="6" s="1"/>
  <c r="AX190" i="6"/>
  <c r="AF190" i="6" s="1"/>
  <c r="T247" i="20"/>
  <c r="T251" i="20" s="1"/>
  <c r="AW190" i="6"/>
  <c r="BJ191" i="6"/>
  <c r="BL191" i="6" s="1"/>
  <c r="BN191" i="6" s="1"/>
  <c r="Y188" i="6"/>
  <c r="AU213" i="6"/>
  <c r="X213" i="6" s="1"/>
  <c r="AV213" i="6"/>
  <c r="AX183" i="6"/>
  <c r="AV211" i="6"/>
  <c r="BJ189" i="6"/>
  <c r="BL189" i="6" s="1"/>
  <c r="BN189" i="6" s="1"/>
  <c r="BG213" i="6"/>
  <c r="BI213" i="6" s="1"/>
  <c r="BK213" i="6" s="1"/>
  <c r="BM213" i="6" s="1"/>
  <c r="BO213" i="6" s="1"/>
  <c r="Y187" i="6"/>
  <c r="AZ192" i="6"/>
  <c r="AG192" i="6" s="1"/>
  <c r="AD197" i="6"/>
  <c r="AZ184" i="6"/>
  <c r="AG184" i="6" s="1"/>
  <c r="Y197" i="6"/>
  <c r="BK183" i="6"/>
  <c r="BI211" i="6"/>
  <c r="AZ195" i="6"/>
  <c r="AG195" i="6" s="1"/>
  <c r="BJ199" i="6"/>
  <c r="BL199" i="6" s="1"/>
  <c r="BN199" i="6" s="1"/>
  <c r="Y184" i="6"/>
  <c r="AX200" i="6"/>
  <c r="AF200" i="6" s="1"/>
  <c r="Y191" i="6"/>
  <c r="Y201" i="6"/>
  <c r="Y186" i="6"/>
  <c r="AD188" i="6"/>
  <c r="AD183" i="6"/>
  <c r="AY189" i="6"/>
  <c r="BJ198" i="6"/>
  <c r="BL198" i="6" s="1"/>
  <c r="BN198" i="6" s="1"/>
  <c r="BJ201" i="6"/>
  <c r="BL201" i="6" s="1"/>
  <c r="BN201" i="6" s="1"/>
  <c r="V49" i="20"/>
  <c r="AU211" i="6"/>
  <c r="AW183" i="6"/>
  <c r="BJ193" i="6"/>
  <c r="BL193" i="6" s="1"/>
  <c r="BN193" i="6" s="1"/>
  <c r="AY188" i="6"/>
  <c r="V214" i="6"/>
  <c r="V216" i="6" s="1"/>
  <c r="AW199" i="6"/>
  <c r="AX199" i="6"/>
  <c r="AF199" i="6" s="1"/>
  <c r="AW185" i="6"/>
  <c r="AZ198" i="6"/>
  <c r="AG198" i="6" s="1"/>
  <c r="AZ187" i="6"/>
  <c r="AG187" i="6" s="1"/>
  <c r="BJ190" i="6"/>
  <c r="BL190" i="6" s="1"/>
  <c r="BN190" i="6" s="1"/>
  <c r="AX191" i="6"/>
  <c r="AF191" i="6" s="1"/>
  <c r="BJ195" i="6"/>
  <c r="BL195" i="6" s="1"/>
  <c r="BN195" i="6" s="1"/>
  <c r="BF214" i="6"/>
  <c r="BJ196" i="6"/>
  <c r="BL196" i="6" s="1"/>
  <c r="BN196" i="6" s="1"/>
  <c r="Z214" i="6"/>
  <c r="Z216" i="6" s="1"/>
  <c r="AZ194" i="6"/>
  <c r="AG194" i="6" s="1"/>
  <c r="Y196" i="6"/>
  <c r="Y189" i="6"/>
  <c r="BH211" i="6"/>
  <c r="AZ186" i="6"/>
  <c r="AG186" i="6" s="1"/>
  <c r="AW200" i="6"/>
  <c r="BJ186" i="6"/>
  <c r="BL186" i="6" s="1"/>
  <c r="BN186" i="6" s="1"/>
  <c r="BJ200" i="6"/>
  <c r="BL200" i="6" s="1"/>
  <c r="BN200" i="6" s="1"/>
  <c r="AD210" i="6"/>
  <c r="AZ196" i="6"/>
  <c r="AG196" i="6" s="1"/>
  <c r="Y193" i="6"/>
  <c r="Y185" i="6"/>
  <c r="AY197" i="6"/>
  <c r="AZ193" i="6"/>
  <c r="AG193" i="6" s="1"/>
  <c r="AX201" i="6"/>
  <c r="AF201" i="6" s="1"/>
  <c r="AY210" i="6"/>
  <c r="AZ210" i="6"/>
  <c r="AG210" i="6" s="1"/>
  <c r="U214" i="6"/>
  <c r="U216" i="6" s="1"/>
  <c r="AW191" i="6"/>
  <c r="AW201" i="6"/>
  <c r="AY186" i="6"/>
  <c r="W214" i="6"/>
  <c r="W216" i="6" s="1"/>
  <c r="BJ183" i="6"/>
  <c r="AG19" i="3"/>
  <c r="AG21" i="3" s="1"/>
  <c r="BL19" i="3"/>
  <c r="AB214" i="6"/>
  <c r="AB216" i="6" s="1"/>
  <c r="AA214" i="6"/>
  <c r="AA216" i="6" s="1"/>
  <c r="S211" i="6"/>
  <c r="S214" i="6" s="1"/>
  <c r="S216" i="6" s="1"/>
  <c r="N251" i="20" l="1"/>
  <c r="G247" i="20"/>
  <c r="BA19" i="3"/>
  <c r="AE213" i="6"/>
  <c r="AH210" i="6"/>
  <c r="BB19" i="3"/>
  <c r="BM21" i="3" s="1"/>
  <c r="AH19" i="3"/>
  <c r="AH21" i="3" s="1"/>
  <c r="AI18" i="3"/>
  <c r="T213" i="6"/>
  <c r="BO190" i="6"/>
  <c r="BP190" i="6" s="1"/>
  <c r="BQ190" i="6" s="1"/>
  <c r="BO188" i="6"/>
  <c r="BP188" i="6" s="1"/>
  <c r="BQ188" i="6" s="1"/>
  <c r="W33" i="20"/>
  <c r="BO186" i="6"/>
  <c r="BP186" i="6" s="1"/>
  <c r="BQ186" i="6" s="1"/>
  <c r="BO195" i="6"/>
  <c r="BP195" i="6" s="1"/>
  <c r="BQ195" i="6" s="1"/>
  <c r="BO199" i="6"/>
  <c r="BP199" i="6" s="1"/>
  <c r="BQ199" i="6" s="1"/>
  <c r="AH197" i="6"/>
  <c r="AI197" i="6" s="1"/>
  <c r="BO184" i="6"/>
  <c r="BP184" i="6" s="1"/>
  <c r="BQ184" i="6" s="1"/>
  <c r="BO185" i="6"/>
  <c r="BP185" i="6" s="1"/>
  <c r="BQ185" i="6" s="1"/>
  <c r="BO198" i="6"/>
  <c r="BP198" i="6" s="1"/>
  <c r="BQ198" i="6" s="1"/>
  <c r="BO191" i="6"/>
  <c r="BP191" i="6" s="1"/>
  <c r="BQ191" i="6" s="1"/>
  <c r="AH188" i="6"/>
  <c r="AI188" i="6" s="1"/>
  <c r="BO194" i="6"/>
  <c r="BP194" i="6" s="1"/>
  <c r="BQ194" i="6" s="1"/>
  <c r="BO200" i="6"/>
  <c r="BP200" i="6" s="1"/>
  <c r="BQ200" i="6" s="1"/>
  <c r="BO189" i="6"/>
  <c r="BP189" i="6" s="1"/>
  <c r="BQ189" i="6" s="1"/>
  <c r="AF183" i="6"/>
  <c r="AF211" i="6" s="1"/>
  <c r="BO187" i="6"/>
  <c r="BP187" i="6" s="1"/>
  <c r="BQ187" i="6" s="1"/>
  <c r="BO197" i="6"/>
  <c r="BP197" i="6" s="1"/>
  <c r="BQ197" i="6" s="1"/>
  <c r="BO196" i="6"/>
  <c r="BP196" i="6" s="1"/>
  <c r="BQ196" i="6" s="1"/>
  <c r="BO193" i="6"/>
  <c r="BP193" i="6" s="1"/>
  <c r="BQ193" i="6" s="1"/>
  <c r="BO201" i="6"/>
  <c r="BP201" i="6" s="1"/>
  <c r="BQ201" i="6" s="1"/>
  <c r="BO210" i="6"/>
  <c r="BP210" i="6" s="1"/>
  <c r="BQ210" i="6" s="1"/>
  <c r="BO192" i="6"/>
  <c r="BP192" i="6" s="1"/>
  <c r="BQ192" i="6" s="1"/>
  <c r="BL21" i="3"/>
  <c r="AO210" i="6"/>
  <c r="AI210" i="6"/>
  <c r="AV214" i="6"/>
  <c r="BA197" i="6"/>
  <c r="BB197" i="6" s="1"/>
  <c r="AD194" i="6"/>
  <c r="AO194" i="6" s="1"/>
  <c r="BA193" i="6"/>
  <c r="BB193" i="6" s="1"/>
  <c r="V245" i="20"/>
  <c r="V247" i="20" s="1"/>
  <c r="V251" i="20" s="1"/>
  <c r="I33" i="20"/>
  <c r="I247" i="20" s="1"/>
  <c r="I251" i="20" s="1"/>
  <c r="S33" i="20"/>
  <c r="S49" i="20"/>
  <c r="AO197" i="6"/>
  <c r="AO188" i="6"/>
  <c r="BA198" i="6"/>
  <c r="BB198" i="6" s="1"/>
  <c r="AD192" i="6"/>
  <c r="AH192" i="6" s="1"/>
  <c r="AY200" i="6"/>
  <c r="BA192" i="6"/>
  <c r="BB192" i="6" s="1"/>
  <c r="AY185" i="6"/>
  <c r="BA186" i="6"/>
  <c r="BB186" i="6" s="1"/>
  <c r="BG214" i="6"/>
  <c r="BH213" i="6"/>
  <c r="AC213" i="6" s="1"/>
  <c r="AY199" i="6"/>
  <c r="AU214" i="6"/>
  <c r="AY191" i="6"/>
  <c r="Y200" i="6"/>
  <c r="AD190" i="6"/>
  <c r="BM183" i="6"/>
  <c r="BK211" i="6"/>
  <c r="BK214" i="6" s="1"/>
  <c r="AD191" i="6"/>
  <c r="AO191" i="6" s="1"/>
  <c r="BL183" i="6"/>
  <c r="BJ211" i="6"/>
  <c r="AD186" i="6"/>
  <c r="AO186" i="6" s="1"/>
  <c r="U33" i="20"/>
  <c r="BA184" i="6"/>
  <c r="BB184" i="6" s="1"/>
  <c r="T211" i="6"/>
  <c r="AD184" i="6"/>
  <c r="AO184" i="6" s="1"/>
  <c r="AZ201" i="6"/>
  <c r="AG201" i="6" s="1"/>
  <c r="U49" i="20"/>
  <c r="W49" i="20"/>
  <c r="AZ191" i="6"/>
  <c r="AG191" i="6" s="1"/>
  <c r="BA187" i="6"/>
  <c r="BB187" i="6" s="1"/>
  <c r="AY183" i="6"/>
  <c r="AW211" i="6"/>
  <c r="AD199" i="6"/>
  <c r="AX211" i="6"/>
  <c r="AZ183" i="6"/>
  <c r="AX213" i="6"/>
  <c r="AF213" i="6" s="1"/>
  <c r="AY190" i="6"/>
  <c r="AZ190" i="6"/>
  <c r="AG190" i="6" s="1"/>
  <c r="BA196" i="6"/>
  <c r="BB196" i="6" s="1"/>
  <c r="BA194" i="6"/>
  <c r="BB194" i="6" s="1"/>
  <c r="AD193" i="6"/>
  <c r="AO193" i="6" s="1"/>
  <c r="Y183" i="6"/>
  <c r="X211" i="6"/>
  <c r="Y211" i="6" s="1"/>
  <c r="AD198" i="6"/>
  <c r="AO198" i="6" s="1"/>
  <c r="AE211" i="6"/>
  <c r="Y190" i="6"/>
  <c r="BA188" i="6"/>
  <c r="BB188" i="6" s="1"/>
  <c r="AD187" i="6"/>
  <c r="AO187" i="6" s="1"/>
  <c r="AD195" i="6"/>
  <c r="AO195" i="6" s="1"/>
  <c r="AY201" i="6"/>
  <c r="BA210" i="6"/>
  <c r="BB210" i="6" s="1"/>
  <c r="AD200" i="6"/>
  <c r="AD196" i="6"/>
  <c r="AO196" i="6" s="1"/>
  <c r="AZ199" i="6"/>
  <c r="AG199" i="6" s="1"/>
  <c r="AD201" i="6"/>
  <c r="AO201" i="6" s="1"/>
  <c r="BA189" i="6"/>
  <c r="BB189" i="6" s="1"/>
  <c r="AC211" i="6"/>
  <c r="AZ200" i="6"/>
  <c r="AG200" i="6" s="1"/>
  <c r="BI214" i="6"/>
  <c r="BA195" i="6"/>
  <c r="BB195" i="6" s="1"/>
  <c r="AD189" i="6"/>
  <c r="AO189" i="6" s="1"/>
  <c r="AW213" i="6"/>
  <c r="AD185" i="6"/>
  <c r="AO185" i="6" s="1"/>
  <c r="AZ185" i="6"/>
  <c r="AG185" i="6" s="1"/>
  <c r="G251" i="20" l="1"/>
  <c r="AG183" i="6"/>
  <c r="AH190" i="6"/>
  <c r="AH199" i="6"/>
  <c r="AH184" i="6"/>
  <c r="AI184" i="6" s="1"/>
  <c r="AH193" i="6"/>
  <c r="AI193" i="6" s="1"/>
  <c r="AH195" i="6"/>
  <c r="AI195" i="6" s="1"/>
  <c r="AH196" i="6"/>
  <c r="AH201" i="6"/>
  <c r="AI201" i="6" s="1"/>
  <c r="AO183" i="6"/>
  <c r="AH183" i="6"/>
  <c r="AH187" i="6"/>
  <c r="AH198" i="6"/>
  <c r="AI198" i="6" s="1"/>
  <c r="AH200" i="6"/>
  <c r="AI200" i="6" s="1"/>
  <c r="AH191" i="6"/>
  <c r="AI191" i="6" s="1"/>
  <c r="AH189" i="6"/>
  <c r="AH194" i="6"/>
  <c r="AH186" i="6"/>
  <c r="AI186" i="6" s="1"/>
  <c r="AH185" i="6"/>
  <c r="AO199" i="6"/>
  <c r="AI199" i="6"/>
  <c r="AI189" i="6"/>
  <c r="AI187" i="6"/>
  <c r="AO192" i="6"/>
  <c r="AI192" i="6"/>
  <c r="AI185" i="6"/>
  <c r="AI196" i="6"/>
  <c r="AO190" i="6"/>
  <c r="AI190" i="6"/>
  <c r="AG211" i="6"/>
  <c r="S245" i="20"/>
  <c r="K33" i="20"/>
  <c r="T214" i="6"/>
  <c r="BH214" i="6"/>
  <c r="AD213" i="6"/>
  <c r="X214" i="6"/>
  <c r="AO200" i="6"/>
  <c r="BC195" i="6"/>
  <c r="BD195" i="6" s="1"/>
  <c r="AY213" i="6"/>
  <c r="BJ213" i="6"/>
  <c r="BL213" i="6" s="1"/>
  <c r="BN213" i="6" s="1"/>
  <c r="BP213" i="6" s="1"/>
  <c r="BQ213" i="6" s="1"/>
  <c r="BC189" i="6"/>
  <c r="BD189" i="6" s="1"/>
  <c r="BA199" i="6"/>
  <c r="BB199" i="6" s="1"/>
  <c r="AE214" i="6"/>
  <c r="AE216" i="6" s="1"/>
  <c r="BC194" i="6"/>
  <c r="BD194" i="6" s="1"/>
  <c r="BC188" i="6"/>
  <c r="BD188" i="6" s="1"/>
  <c r="AX214" i="6"/>
  <c r="BC196" i="6"/>
  <c r="BD196" i="6" s="1"/>
  <c r="BC187" i="6"/>
  <c r="BD187" i="6" s="1"/>
  <c r="BC192" i="6"/>
  <c r="BD192" i="6" s="1"/>
  <c r="BN183" i="6"/>
  <c r="BO183" i="6" s="1"/>
  <c r="BO211" i="6" s="1"/>
  <c r="BO214" i="6" s="1"/>
  <c r="BL211" i="6"/>
  <c r="BC210" i="6"/>
  <c r="BD210" i="6" s="1"/>
  <c r="BC184" i="6"/>
  <c r="BD184" i="6" s="1"/>
  <c r="BM211" i="6"/>
  <c r="BM214" i="6" s="1"/>
  <c r="BC198" i="6"/>
  <c r="BD198" i="6" s="1"/>
  <c r="BA183" i="6"/>
  <c r="BB183" i="6" s="1"/>
  <c r="AY211" i="6"/>
  <c r="Y213" i="6"/>
  <c r="BA200" i="6"/>
  <c r="BB200" i="6" s="1"/>
  <c r="BA190" i="6"/>
  <c r="BB190" i="6" s="1"/>
  <c r="AZ213" i="6"/>
  <c r="AG213" i="6" s="1"/>
  <c r="AZ211" i="6"/>
  <c r="BC197" i="6"/>
  <c r="BD197" i="6" s="1"/>
  <c r="BA201" i="6"/>
  <c r="BB201" i="6" s="1"/>
  <c r="BC193" i="6"/>
  <c r="BD193" i="6" s="1"/>
  <c r="BC186" i="6"/>
  <c r="BD186" i="6" s="1"/>
  <c r="BA191" i="6"/>
  <c r="BB191" i="6" s="1"/>
  <c r="BA185" i="6"/>
  <c r="BB185" i="6" s="1"/>
  <c r="AD211" i="6"/>
  <c r="AW214" i="6"/>
  <c r="AJ18" i="3"/>
  <c r="S247" i="20" l="1"/>
  <c r="AH211" i="6"/>
  <c r="AH213" i="6"/>
  <c r="AI194" i="6"/>
  <c r="AJ193" i="6"/>
  <c r="J247" i="20"/>
  <c r="Q33" i="20"/>
  <c r="Q49" i="20"/>
  <c r="R49" i="20"/>
  <c r="W245" i="20"/>
  <c r="W247" i="20" s="1"/>
  <c r="W251" i="20" s="1"/>
  <c r="R33" i="20"/>
  <c r="U245" i="20"/>
  <c r="K49" i="20"/>
  <c r="BJ214" i="6"/>
  <c r="BL214" i="6"/>
  <c r="AY214" i="6"/>
  <c r="AC214" i="6"/>
  <c r="X216" i="6" s="1"/>
  <c r="BC190" i="6"/>
  <c r="BD190" i="6" s="1"/>
  <c r="BC200" i="6"/>
  <c r="BD200" i="6" s="1"/>
  <c r="AJ195" i="6"/>
  <c r="BC201" i="6"/>
  <c r="BD201" i="6" s="1"/>
  <c r="AZ214" i="6"/>
  <c r="BC191" i="6"/>
  <c r="BD191" i="6" s="1"/>
  <c r="BB211" i="6"/>
  <c r="BC199" i="6"/>
  <c r="BD199" i="6" s="1"/>
  <c r="AJ189" i="6"/>
  <c r="AF214" i="6"/>
  <c r="AF216" i="6" s="1"/>
  <c r="BP183" i="6"/>
  <c r="BN211" i="6"/>
  <c r="BN214" i="6" s="1"/>
  <c r="BC185" i="6"/>
  <c r="BD185" i="6" s="1"/>
  <c r="BC183" i="6"/>
  <c r="BA211" i="6"/>
  <c r="AJ194" i="6"/>
  <c r="BA213" i="6"/>
  <c r="BB213" i="6" s="1"/>
  <c r="K247" i="20" l="1"/>
  <c r="U247" i="20"/>
  <c r="S251" i="20"/>
  <c r="K251" i="20"/>
  <c r="J251" i="20"/>
  <c r="Q247" i="20"/>
  <c r="R247" i="20"/>
  <c r="R251" i="20" s="1"/>
  <c r="AJ210" i="6"/>
  <c r="AJ192" i="6"/>
  <c r="AJ188" i="6"/>
  <c r="AJ198" i="6"/>
  <c r="AJ190" i="6"/>
  <c r="AJ184" i="6"/>
  <c r="AJ187" i="6"/>
  <c r="AJ186" i="6"/>
  <c r="AJ197" i="6"/>
  <c r="AJ196" i="6"/>
  <c r="AJ199" i="6"/>
  <c r="BC213" i="6"/>
  <c r="BD213" i="6" s="1"/>
  <c r="BB214" i="6"/>
  <c r="AG214" i="6"/>
  <c r="AG216" i="6" s="1"/>
  <c r="AJ201" i="6"/>
  <c r="BA214" i="6"/>
  <c r="AJ191" i="6"/>
  <c r="BD183" i="6"/>
  <c r="BD211" i="6" s="1"/>
  <c r="BC211" i="6"/>
  <c r="BQ183" i="6"/>
  <c r="BQ211" i="6" s="1"/>
  <c r="BQ214" i="6" s="1"/>
  <c r="BP211" i="6"/>
  <c r="BP214" i="6" s="1"/>
  <c r="AI183" i="6"/>
  <c r="Q251" i="20" l="1"/>
  <c r="U251" i="20"/>
  <c r="AJ185" i="6"/>
  <c r="AI213" i="6"/>
  <c r="AJ200" i="6"/>
  <c r="BC214" i="6"/>
  <c r="AH214" i="6"/>
  <c r="AH216" i="6" s="1"/>
  <c r="BD214" i="6"/>
  <c r="AI211" i="6"/>
  <c r="AJ183" i="6"/>
  <c r="B249" i="5"/>
  <c r="B241" i="5"/>
  <c r="H234" i="5"/>
  <c r="AJ213" i="6" l="1"/>
  <c r="AI214" i="6"/>
  <c r="AI216" i="6" s="1"/>
  <c r="B248" i="5"/>
  <c r="B250" i="5" s="1"/>
  <c r="B251" i="5" s="1"/>
  <c r="B257" i="5"/>
  <c r="F237" i="5"/>
  <c r="F238" i="5" s="1"/>
  <c r="C249" i="5"/>
  <c r="AJ211" i="6"/>
  <c r="B255" i="5"/>
  <c r="C253" i="5" s="1"/>
  <c r="D275" i="5" s="1"/>
  <c r="D277" i="5" l="1"/>
  <c r="B275" i="5"/>
  <c r="C254" i="5"/>
  <c r="C258" i="5" s="1"/>
  <c r="D253" i="5"/>
  <c r="B258" i="5"/>
  <c r="D254" i="5" l="1"/>
  <c r="D255" i="5" s="1"/>
  <c r="F277" i="5"/>
  <c r="B277" i="5"/>
  <c r="C255" i="5"/>
  <c r="D280" i="5"/>
  <c r="D281" i="5" s="1"/>
  <c r="B281" i="5" s="1"/>
  <c r="B280" i="5" l="1"/>
  <c r="D282" i="5"/>
  <c r="B282" i="5" l="1"/>
  <c r="B284" i="5" s="1"/>
  <c r="F282" i="5"/>
  <c r="D284" i="5"/>
  <c r="K153" i="6" l="1"/>
  <c r="N194" i="6"/>
  <c r="O194" i="6"/>
  <c r="J58" i="6" l="1"/>
  <c r="K68" i="6"/>
  <c r="J213" i="6"/>
  <c r="J195" i="6"/>
  <c r="AP195" i="6" s="1"/>
  <c r="K65" i="6"/>
  <c r="J146" i="6"/>
  <c r="J159" i="6"/>
  <c r="AP159" i="6" s="1"/>
  <c r="K91" i="6"/>
  <c r="J11" i="6"/>
  <c r="AP11" i="6" s="1"/>
  <c r="J174" i="6"/>
  <c r="J164" i="6"/>
  <c r="AP164" i="6" s="1"/>
  <c r="K191" i="6"/>
  <c r="K124" i="6"/>
  <c r="J111" i="6"/>
  <c r="AP111" i="6" s="1"/>
  <c r="K146" i="6"/>
  <c r="J182" i="6"/>
  <c r="J150" i="6"/>
  <c r="AP150" i="6" s="1"/>
  <c r="J95" i="6"/>
  <c r="AP95" i="6" s="1"/>
  <c r="J199" i="6"/>
  <c r="AP199" i="6" s="1"/>
  <c r="K49" i="6"/>
  <c r="J179" i="6"/>
  <c r="AP179" i="6" s="1"/>
  <c r="K86" i="6"/>
  <c r="J18" i="6"/>
  <c r="AP18" i="6" s="1"/>
  <c r="J101" i="6"/>
  <c r="AP101" i="6" s="1"/>
  <c r="J144" i="6"/>
  <c r="AP144" i="6" s="1"/>
  <c r="K25" i="6"/>
  <c r="K10" i="6"/>
  <c r="K121" i="6"/>
  <c r="J166" i="6"/>
  <c r="K139" i="6"/>
  <c r="J155" i="6"/>
  <c r="AP155" i="6" s="1"/>
  <c r="K204" i="6"/>
  <c r="K99" i="6"/>
  <c r="J67" i="6"/>
  <c r="AP67" i="6" s="1"/>
  <c r="J129" i="6"/>
  <c r="K201" i="6"/>
  <c r="J89" i="6"/>
  <c r="AP89" i="6" s="1"/>
  <c r="K18" i="6"/>
  <c r="K27" i="6"/>
  <c r="K31" i="6"/>
  <c r="K62" i="6"/>
  <c r="K38" i="6"/>
  <c r="J66" i="6"/>
  <c r="AP66" i="6" s="1"/>
  <c r="K105" i="6"/>
  <c r="K122" i="6"/>
  <c r="J48" i="6"/>
  <c r="AP48" i="6" s="1"/>
  <c r="J104" i="6"/>
  <c r="K151" i="6"/>
  <c r="J72" i="6"/>
  <c r="AP72" i="6" s="1"/>
  <c r="K51" i="6"/>
  <c r="K35" i="6"/>
  <c r="J172" i="6"/>
  <c r="AP172" i="6" s="1"/>
  <c r="J124" i="6"/>
  <c r="AP124" i="6" s="1"/>
  <c r="J12" i="6"/>
  <c r="AP12" i="6" s="1"/>
  <c r="J90" i="6"/>
  <c r="AP90" i="6" s="1"/>
  <c r="K117" i="6"/>
  <c r="K138" i="6"/>
  <c r="J32" i="6"/>
  <c r="AP32" i="6" s="1"/>
  <c r="J185" i="6"/>
  <c r="AP185" i="6" s="1"/>
  <c r="J74" i="6"/>
  <c r="K77" i="6"/>
  <c r="J81" i="6"/>
  <c r="AP81" i="6" s="1"/>
  <c r="K207" i="6"/>
  <c r="K182" i="6"/>
  <c r="K190" i="6"/>
  <c r="J76" i="6"/>
  <c r="AP76" i="6" s="1"/>
  <c r="J156" i="6"/>
  <c r="AP156" i="6" s="1"/>
  <c r="J38" i="6"/>
  <c r="AP38" i="6" s="1"/>
  <c r="K74" i="6"/>
  <c r="AP58" i="6"/>
  <c r="K108" i="6"/>
  <c r="J36" i="6"/>
  <c r="K205" i="6"/>
  <c r="K80" i="6"/>
  <c r="J116" i="6"/>
  <c r="AP116" i="6" s="1"/>
  <c r="K176" i="6"/>
  <c r="K173" i="6"/>
  <c r="K185" i="6"/>
  <c r="J137" i="6"/>
  <c r="K85" i="6"/>
  <c r="J70" i="6"/>
  <c r="K97" i="6"/>
  <c r="J193" i="6"/>
  <c r="J128" i="6"/>
  <c r="AP128" i="6" s="1"/>
  <c r="J109" i="6"/>
  <c r="K23" i="6"/>
  <c r="J49" i="6"/>
  <c r="AP49" i="6" s="1"/>
  <c r="K107" i="6"/>
  <c r="J82" i="6"/>
  <c r="AP82" i="6" s="1"/>
  <c r="K42" i="6"/>
  <c r="K133" i="6"/>
  <c r="K194" i="6"/>
  <c r="J106" i="6"/>
  <c r="AP106" i="6" s="1"/>
  <c r="J21" i="6"/>
  <c r="AP21" i="6" s="1"/>
  <c r="K177" i="6"/>
  <c r="K134" i="6"/>
  <c r="J121" i="6"/>
  <c r="J176" i="6"/>
  <c r="K159" i="6"/>
  <c r="L159" i="6" s="1"/>
  <c r="K41" i="6"/>
  <c r="K103" i="6"/>
  <c r="J43" i="6"/>
  <c r="J120" i="6"/>
  <c r="K26" i="6"/>
  <c r="K167" i="6"/>
  <c r="K184" i="6"/>
  <c r="J170" i="6"/>
  <c r="AP170" i="6" s="1"/>
  <c r="J45" i="6"/>
  <c r="AP45" i="6" s="1"/>
  <c r="K33" i="6"/>
  <c r="K174" i="6"/>
  <c r="K123" i="6"/>
  <c r="K73" i="6"/>
  <c r="K16" i="6"/>
  <c r="K203" i="6"/>
  <c r="K11" i="6"/>
  <c r="J29" i="6"/>
  <c r="J69" i="6"/>
  <c r="J28" i="6"/>
  <c r="J147" i="6"/>
  <c r="J16" i="6"/>
  <c r="J91" i="6"/>
  <c r="K34" i="6"/>
  <c r="K100" i="6"/>
  <c r="K70" i="6"/>
  <c r="K19" i="6"/>
  <c r="K156" i="6"/>
  <c r="K155" i="6"/>
  <c r="J191" i="6"/>
  <c r="AP191" i="6" s="1"/>
  <c r="J88" i="6"/>
  <c r="J108" i="6"/>
  <c r="AP108" i="6" s="1"/>
  <c r="J115" i="6"/>
  <c r="J203" i="6"/>
  <c r="AP203" i="6" s="1"/>
  <c r="J97" i="6"/>
  <c r="AP97" i="6" s="1"/>
  <c r="J141" i="6"/>
  <c r="AP141" i="6" s="1"/>
  <c r="K208" i="6"/>
  <c r="K52" i="6"/>
  <c r="K181" i="6"/>
  <c r="K84" i="6"/>
  <c r="K160" i="6"/>
  <c r="J184" i="6"/>
  <c r="AP184" i="6" s="1"/>
  <c r="J190" i="6"/>
  <c r="J85" i="6"/>
  <c r="J20" i="6"/>
  <c r="J86" i="6"/>
  <c r="AP86" i="6" s="1"/>
  <c r="J138" i="6"/>
  <c r="J133" i="6"/>
  <c r="K119" i="6"/>
  <c r="K161" i="6"/>
  <c r="K57" i="6"/>
  <c r="K109" i="6"/>
  <c r="K141" i="6"/>
  <c r="K21" i="6"/>
  <c r="K199" i="6"/>
  <c r="J167" i="6"/>
  <c r="J54" i="6"/>
  <c r="J178" i="6"/>
  <c r="J171" i="6"/>
  <c r="AP171" i="6" s="1"/>
  <c r="J175" i="6"/>
  <c r="AP175" i="6" s="1"/>
  <c r="K145" i="6"/>
  <c r="J112" i="6"/>
  <c r="AP112" i="6" s="1"/>
  <c r="K195" i="6"/>
  <c r="K112" i="6"/>
  <c r="J44" i="6"/>
  <c r="AP44" i="6" s="1"/>
  <c r="K95" i="6"/>
  <c r="J192" i="6"/>
  <c r="J181" i="6"/>
  <c r="K24" i="6"/>
  <c r="J24" i="6"/>
  <c r="AP24" i="6" s="1"/>
  <c r="K136" i="6"/>
  <c r="K82" i="6"/>
  <c r="J64" i="6"/>
  <c r="J31" i="6"/>
  <c r="K209" i="6"/>
  <c r="J143" i="6"/>
  <c r="K46" i="6"/>
  <c r="K164" i="6"/>
  <c r="J126" i="6"/>
  <c r="AP126" i="6" s="1"/>
  <c r="J79" i="6"/>
  <c r="K162" i="6"/>
  <c r="K206" i="6"/>
  <c r="K78" i="6"/>
  <c r="J50" i="6"/>
  <c r="J180" i="6"/>
  <c r="AP180" i="6" s="1"/>
  <c r="K104" i="6"/>
  <c r="K90" i="6"/>
  <c r="K197" i="6"/>
  <c r="J57" i="6"/>
  <c r="J94" i="6"/>
  <c r="K144" i="6"/>
  <c r="K47" i="6"/>
  <c r="J62" i="6"/>
  <c r="J113" i="6"/>
  <c r="AP113" i="6" s="1"/>
  <c r="J165" i="6"/>
  <c r="K45" i="6"/>
  <c r="K163" i="6"/>
  <c r="K75" i="6"/>
  <c r="K106" i="6"/>
  <c r="K67" i="6"/>
  <c r="K189" i="6"/>
  <c r="J196" i="6"/>
  <c r="AP196" i="6" s="1"/>
  <c r="J22" i="6"/>
  <c r="J41" i="6"/>
  <c r="AP41" i="6" s="1"/>
  <c r="J158" i="6"/>
  <c r="AP158" i="6" s="1"/>
  <c r="J125" i="6"/>
  <c r="J59" i="6"/>
  <c r="AP59" i="6" s="1"/>
  <c r="K157" i="6"/>
  <c r="K165" i="6"/>
  <c r="K101" i="6"/>
  <c r="K135" i="6"/>
  <c r="K120" i="6"/>
  <c r="K48" i="6"/>
  <c r="K200" i="6"/>
  <c r="J39" i="6"/>
  <c r="J160" i="6"/>
  <c r="J154" i="6"/>
  <c r="AP154" i="6" s="1"/>
  <c r="J56" i="6"/>
  <c r="J140" i="6"/>
  <c r="AP140" i="6" s="1"/>
  <c r="J149" i="6"/>
  <c r="K60" i="6"/>
  <c r="K56" i="6"/>
  <c r="K12" i="6"/>
  <c r="K147" i="6"/>
  <c r="K129" i="6"/>
  <c r="K113" i="6"/>
  <c r="K183" i="6"/>
  <c r="J169" i="6"/>
  <c r="J17" i="6"/>
  <c r="AP17" i="6" s="1"/>
  <c r="J27" i="6"/>
  <c r="J163" i="6"/>
  <c r="AP163" i="6" s="1"/>
  <c r="J148" i="6"/>
  <c r="J87" i="6"/>
  <c r="AP87" i="6" s="1"/>
  <c r="K202" i="6"/>
  <c r="K125" i="6"/>
  <c r="K81" i="6"/>
  <c r="K43" i="6"/>
  <c r="K40" i="6"/>
  <c r="J198" i="6"/>
  <c r="K192" i="6"/>
  <c r="J151" i="6"/>
  <c r="J161" i="6"/>
  <c r="J100" i="6"/>
  <c r="AP100" i="6" s="1"/>
  <c r="J110" i="6"/>
  <c r="J93" i="6"/>
  <c r="AP93" i="6" s="1"/>
  <c r="J114" i="6"/>
  <c r="J105" i="6"/>
  <c r="AP105" i="6" s="1"/>
  <c r="J73" i="6"/>
  <c r="AP73" i="6" s="1"/>
  <c r="J207" i="6"/>
  <c r="AP207" i="6" s="1"/>
  <c r="J194" i="6"/>
  <c r="AP194" i="6" s="1"/>
  <c r="K13" i="6"/>
  <c r="K132" i="6"/>
  <c r="K110" i="6"/>
  <c r="K152" i="6"/>
  <c r="K63" i="6"/>
  <c r="K128" i="6"/>
  <c r="J173" i="6"/>
  <c r="AP173" i="6" s="1"/>
  <c r="J35" i="6"/>
  <c r="J122" i="6"/>
  <c r="J30" i="6"/>
  <c r="K193" i="6"/>
  <c r="K170" i="6"/>
  <c r="K116" i="6"/>
  <c r="K118" i="6"/>
  <c r="J61" i="6"/>
  <c r="AP61" i="6" s="1"/>
  <c r="J162" i="6"/>
  <c r="J208" i="6"/>
  <c r="K28" i="6"/>
  <c r="K55" i="6"/>
  <c r="K96" i="6"/>
  <c r="J205" i="6"/>
  <c r="L205" i="6" s="1"/>
  <c r="J204" i="6"/>
  <c r="J80" i="6"/>
  <c r="AP80" i="6" s="1"/>
  <c r="K196" i="6"/>
  <c r="K83" i="6"/>
  <c r="K59" i="6"/>
  <c r="J26" i="6"/>
  <c r="J14" i="6"/>
  <c r="AP14" i="6" s="1"/>
  <c r="J130" i="6"/>
  <c r="K187" i="6"/>
  <c r="K154" i="6"/>
  <c r="K17" i="6"/>
  <c r="K50" i="6"/>
  <c r="J96" i="6"/>
  <c r="AP96" i="6" s="1"/>
  <c r="K178" i="6"/>
  <c r="J92" i="6"/>
  <c r="J187" i="6"/>
  <c r="K127" i="6"/>
  <c r="J46" i="6"/>
  <c r="K158" i="6"/>
  <c r="J107" i="6"/>
  <c r="AP107" i="6" s="1"/>
  <c r="K142" i="6"/>
  <c r="J177" i="6"/>
  <c r="AP177" i="6" s="1"/>
  <c r="J77" i="6"/>
  <c r="K15" i="6"/>
  <c r="J75" i="6"/>
  <c r="AP75" i="6" s="1"/>
  <c r="J71" i="6"/>
  <c r="K69" i="6"/>
  <c r="K53" i="6"/>
  <c r="J60" i="6"/>
  <c r="AP60" i="6" s="1"/>
  <c r="J186" i="6"/>
  <c r="K29" i="6"/>
  <c r="K179" i="6"/>
  <c r="K180" i="6"/>
  <c r="K213" i="6"/>
  <c r="J10" i="6"/>
  <c r="J118" i="6"/>
  <c r="AP118" i="6" s="1"/>
  <c r="J34" i="6"/>
  <c r="AP34" i="6" s="1"/>
  <c r="J136" i="6"/>
  <c r="J210" i="6"/>
  <c r="AP210" i="6" s="1"/>
  <c r="K115" i="6"/>
  <c r="K169" i="6"/>
  <c r="J139" i="6"/>
  <c r="J23" i="6"/>
  <c r="AP23" i="6" s="1"/>
  <c r="J145" i="6"/>
  <c r="J200" i="6"/>
  <c r="K102" i="6"/>
  <c r="K126" i="6"/>
  <c r="K71" i="6"/>
  <c r="J117" i="6"/>
  <c r="J206" i="6"/>
  <c r="AP206" i="6" s="1"/>
  <c r="J55" i="6"/>
  <c r="AP55" i="6" s="1"/>
  <c r="K36" i="6"/>
  <c r="K92" i="6"/>
  <c r="K58" i="6"/>
  <c r="L58" i="6" s="1"/>
  <c r="J127" i="6"/>
  <c r="J13" i="6"/>
  <c r="AP13" i="6" s="1"/>
  <c r="J152" i="6"/>
  <c r="J189" i="6"/>
  <c r="L189" i="6" s="1"/>
  <c r="K94" i="6"/>
  <c r="K88" i="6"/>
  <c r="K175" i="6"/>
  <c r="L175" i="6" s="1"/>
  <c r="J103" i="6"/>
  <c r="AP103" i="6" s="1"/>
  <c r="K98" i="6"/>
  <c r="J202" i="6"/>
  <c r="AP202" i="6" s="1"/>
  <c r="K137" i="6"/>
  <c r="J132" i="6"/>
  <c r="AP132" i="6" s="1"/>
  <c r="J197" i="6"/>
  <c r="K32" i="6"/>
  <c r="J78" i="6"/>
  <c r="K22" i="6"/>
  <c r="J183" i="6"/>
  <c r="AP183" i="6" s="1"/>
  <c r="J153" i="6"/>
  <c r="AP153" i="6" s="1"/>
  <c r="K111" i="6"/>
  <c r="L111" i="6" s="1"/>
  <c r="K72" i="6"/>
  <c r="J134" i="6"/>
  <c r="L134" i="6" s="1"/>
  <c r="J65" i="6"/>
  <c r="J37" i="6"/>
  <c r="AP37" i="6" s="1"/>
  <c r="K198" i="6"/>
  <c r="K54" i="6"/>
  <c r="J52" i="6"/>
  <c r="J209" i="6"/>
  <c r="AP209" i="6" s="1"/>
  <c r="J135" i="6"/>
  <c r="J142" i="6"/>
  <c r="J84" i="6"/>
  <c r="J201" i="6"/>
  <c r="AP201" i="6" s="1"/>
  <c r="K210" i="6"/>
  <c r="K166" i="6"/>
  <c r="K66" i="6"/>
  <c r="K76" i="6"/>
  <c r="K37" i="6"/>
  <c r="K87" i="6"/>
  <c r="J47" i="6"/>
  <c r="J19" i="6"/>
  <c r="J51" i="6"/>
  <c r="AP51" i="6" s="1"/>
  <c r="J63" i="6"/>
  <c r="J25" i="6"/>
  <c r="K172" i="6"/>
  <c r="K64" i="6"/>
  <c r="K89" i="6"/>
  <c r="J157" i="6"/>
  <c r="AP157" i="6" s="1"/>
  <c r="J42" i="6"/>
  <c r="L42" i="6" s="1"/>
  <c r="J168" i="6"/>
  <c r="AP168" i="6" s="1"/>
  <c r="K114" i="6"/>
  <c r="K171" i="6"/>
  <c r="K30" i="6"/>
  <c r="J123" i="6"/>
  <c r="J33" i="6"/>
  <c r="K188" i="6"/>
  <c r="K93" i="6"/>
  <c r="K39" i="6"/>
  <c r="K79" i="6"/>
  <c r="J99" i="6"/>
  <c r="J119" i="6"/>
  <c r="K14" i="6"/>
  <c r="K130" i="6"/>
  <c r="J102" i="6"/>
  <c r="J83" i="6"/>
  <c r="AP83" i="6" s="1"/>
  <c r="K149" i="6"/>
  <c r="J68" i="6"/>
  <c r="AP68" i="6" s="1"/>
  <c r="K143" i="6"/>
  <c r="J15" i="6"/>
  <c r="K148" i="6"/>
  <c r="J131" i="6"/>
  <c r="AP131" i="6" s="1"/>
  <c r="K186" i="6"/>
  <c r="K131" i="6"/>
  <c r="K150" i="6"/>
  <c r="J188" i="6"/>
  <c r="AP188" i="6" s="1"/>
  <c r="J40" i="6"/>
  <c r="K44" i="6"/>
  <c r="K140" i="6"/>
  <c r="J98" i="6"/>
  <c r="AP98" i="6" s="1"/>
  <c r="K168" i="6"/>
  <c r="K20" i="6"/>
  <c r="K61" i="6"/>
  <c r="J53" i="6"/>
  <c r="AP53" i="6" s="1"/>
  <c r="AO213" i="6"/>
  <c r="AP174" i="6" l="1"/>
  <c r="AP146" i="6"/>
  <c r="L146" i="6"/>
  <c r="AP182" i="6"/>
  <c r="L11" i="6"/>
  <c r="L18" i="6"/>
  <c r="AP129" i="6"/>
  <c r="L150" i="6"/>
  <c r="AP166" i="6"/>
  <c r="L204" i="6"/>
  <c r="L99" i="6"/>
  <c r="L89" i="6"/>
  <c r="L129" i="6"/>
  <c r="L31" i="6"/>
  <c r="L182" i="6"/>
  <c r="L62" i="6"/>
  <c r="AP104" i="6"/>
  <c r="AP74" i="6"/>
  <c r="L88" i="6"/>
  <c r="L38" i="6"/>
  <c r="L91" i="6"/>
  <c r="L74" i="6"/>
  <c r="L167" i="6"/>
  <c r="L109" i="6"/>
  <c r="L190" i="6"/>
  <c r="L29" i="6"/>
  <c r="L185" i="6"/>
  <c r="L90" i="6"/>
  <c r="L12" i="6"/>
  <c r="L119" i="6"/>
  <c r="L142" i="6"/>
  <c r="L81" i="6"/>
  <c r="L45" i="6"/>
  <c r="L124" i="6"/>
  <c r="L32" i="6"/>
  <c r="L39" i="6"/>
  <c r="L138" i="6"/>
  <c r="L181" i="6"/>
  <c r="L23" i="6"/>
  <c r="L79" i="6"/>
  <c r="L117" i="6"/>
  <c r="L174" i="6"/>
  <c r="L156" i="6"/>
  <c r="L67" i="6"/>
  <c r="L83" i="6"/>
  <c r="L130" i="6"/>
  <c r="L198" i="6"/>
  <c r="L22" i="6"/>
  <c r="L57" i="6"/>
  <c r="L145" i="6"/>
  <c r="L115" i="6"/>
  <c r="L92" i="6"/>
  <c r="L112" i="6"/>
  <c r="L141" i="6"/>
  <c r="L148" i="6"/>
  <c r="L169" i="6"/>
  <c r="L84" i="6"/>
  <c r="L149" i="6"/>
  <c r="L76" i="6"/>
  <c r="L118" i="6"/>
  <c r="L110" i="6"/>
  <c r="L43" i="6"/>
  <c r="L201" i="6"/>
  <c r="L172" i="6"/>
  <c r="L34" i="6"/>
  <c r="L28" i="6"/>
  <c r="L41" i="6"/>
  <c r="L120" i="6"/>
  <c r="L44" i="6"/>
  <c r="L20" i="6"/>
  <c r="L100" i="6"/>
  <c r="L147" i="6"/>
  <c r="L71" i="6"/>
  <c r="L154" i="6"/>
  <c r="L133" i="6"/>
  <c r="L50" i="6"/>
  <c r="L102" i="6"/>
  <c r="AP40" i="6"/>
  <c r="AP10" i="6"/>
  <c r="AP77" i="6"/>
  <c r="AP35" i="6"/>
  <c r="AP114" i="6"/>
  <c r="AP161" i="6"/>
  <c r="AP125" i="6"/>
  <c r="AP94" i="6"/>
  <c r="AP31" i="6"/>
  <c r="L86" i="6"/>
  <c r="L128" i="6"/>
  <c r="L184" i="6"/>
  <c r="L168" i="6"/>
  <c r="L126" i="6"/>
  <c r="L94" i="6"/>
  <c r="L101" i="6"/>
  <c r="L186" i="6"/>
  <c r="L96" i="6"/>
  <c r="L125" i="6"/>
  <c r="AP119" i="6"/>
  <c r="L37" i="6"/>
  <c r="AP135" i="6"/>
  <c r="AP189" i="6"/>
  <c r="AP139" i="6"/>
  <c r="AP136" i="6"/>
  <c r="L213" i="6"/>
  <c r="AP186" i="6"/>
  <c r="AP71" i="6"/>
  <c r="AP46" i="6"/>
  <c r="AP26" i="6"/>
  <c r="AP151" i="6"/>
  <c r="AP62" i="6"/>
  <c r="AP57" i="6"/>
  <c r="AP64" i="6"/>
  <c r="AP54" i="6"/>
  <c r="AP20" i="6"/>
  <c r="AP115" i="6"/>
  <c r="AP147" i="6"/>
  <c r="AP120" i="6"/>
  <c r="AP193" i="6"/>
  <c r="AP137" i="6"/>
  <c r="AP197" i="6"/>
  <c r="AP127" i="6"/>
  <c r="AP92" i="6"/>
  <c r="AP162" i="6"/>
  <c r="AP27" i="6"/>
  <c r="AP56" i="6"/>
  <c r="AP178" i="6"/>
  <c r="AP36" i="6"/>
  <c r="L73" i="6"/>
  <c r="L197" i="6"/>
  <c r="L113" i="6"/>
  <c r="L200" i="6"/>
  <c r="L75" i="6"/>
  <c r="L85" i="6"/>
  <c r="L143" i="6"/>
  <c r="L127" i="6"/>
  <c r="L54" i="6"/>
  <c r="L56" i="6"/>
  <c r="AP99" i="6"/>
  <c r="AP42" i="6"/>
  <c r="AP19" i="6"/>
  <c r="AP78" i="6"/>
  <c r="AP152" i="6"/>
  <c r="AP117" i="6"/>
  <c r="AP200" i="6"/>
  <c r="AP204" i="6"/>
  <c r="AP30" i="6"/>
  <c r="AP110" i="6"/>
  <c r="AP148" i="6"/>
  <c r="AP169" i="6"/>
  <c r="AP149" i="6"/>
  <c r="AP160" i="6"/>
  <c r="AP50" i="6"/>
  <c r="AP79" i="6"/>
  <c r="AP143" i="6"/>
  <c r="AP181" i="6"/>
  <c r="AP167" i="6"/>
  <c r="AP133" i="6"/>
  <c r="AP85" i="6"/>
  <c r="AP28" i="6"/>
  <c r="AP43" i="6"/>
  <c r="AP176" i="6"/>
  <c r="AP102" i="6"/>
  <c r="AP123" i="6"/>
  <c r="AP63" i="6"/>
  <c r="AP142" i="6"/>
  <c r="AP134" i="6"/>
  <c r="AP16" i="6"/>
  <c r="AP29" i="6"/>
  <c r="L152" i="6"/>
  <c r="L10" i="6"/>
  <c r="L194" i="6"/>
  <c r="L77" i="6"/>
  <c r="L203" i="6"/>
  <c r="L191" i="6"/>
  <c r="L161" i="6"/>
  <c r="K211" i="6"/>
  <c r="K216" i="6" s="1"/>
  <c r="L52" i="6"/>
  <c r="L27" i="6"/>
  <c r="L123" i="6"/>
  <c r="L35" i="6"/>
  <c r="L164" i="6"/>
  <c r="L104" i="6"/>
  <c r="L196" i="6"/>
  <c r="L21" i="6"/>
  <c r="L166" i="6"/>
  <c r="L176" i="6"/>
  <c r="L40" i="6"/>
  <c r="L95" i="6"/>
  <c r="AP15" i="6"/>
  <c r="L33" i="6"/>
  <c r="AP33" i="6"/>
  <c r="AP25" i="6"/>
  <c r="AP47" i="6"/>
  <c r="AP84" i="6"/>
  <c r="AP52" i="6"/>
  <c r="AP65" i="6"/>
  <c r="AP145" i="6"/>
  <c r="AP187" i="6"/>
  <c r="AP130" i="6"/>
  <c r="AP205" i="6"/>
  <c r="AP208" i="6"/>
  <c r="AP122" i="6"/>
  <c r="AP198" i="6"/>
  <c r="AP39" i="6"/>
  <c r="AP22" i="6"/>
  <c r="AP165" i="6"/>
  <c r="AP192" i="6"/>
  <c r="AP138" i="6"/>
  <c r="AP190" i="6"/>
  <c r="AP88" i="6"/>
  <c r="AP91" i="6"/>
  <c r="AP69" i="6"/>
  <c r="AP121" i="6"/>
  <c r="AP109" i="6"/>
  <c r="AP70" i="6"/>
  <c r="L98" i="6"/>
  <c r="L188" i="6"/>
  <c r="L68" i="6"/>
  <c r="L30" i="6"/>
  <c r="L72" i="6"/>
  <c r="L132" i="6"/>
  <c r="L103" i="6"/>
  <c r="L206" i="6"/>
  <c r="L80" i="6"/>
  <c r="L55" i="6"/>
  <c r="L61" i="6"/>
  <c r="L173" i="6"/>
  <c r="L207" i="6"/>
  <c r="L93" i="6"/>
  <c r="L87" i="6"/>
  <c r="L17" i="6"/>
  <c r="L48" i="6"/>
  <c r="L158" i="6"/>
  <c r="L24" i="6"/>
  <c r="L160" i="6"/>
  <c r="L170" i="6"/>
  <c r="L116" i="6"/>
  <c r="L49" i="6"/>
  <c r="L108" i="6"/>
  <c r="L210" i="6"/>
  <c r="L70" i="6"/>
  <c r="L135" i="6"/>
  <c r="L208" i="6"/>
  <c r="L66" i="6"/>
  <c r="L122" i="6"/>
  <c r="L155" i="6"/>
  <c r="L139" i="6"/>
  <c r="L46" i="6"/>
  <c r="L178" i="6"/>
  <c r="L51" i="6"/>
  <c r="L25" i="6"/>
  <c r="L192" i="6"/>
  <c r="L136" i="6"/>
  <c r="L193" i="6"/>
  <c r="L177" i="6"/>
  <c r="L131" i="6"/>
  <c r="L64" i="6"/>
  <c r="L144" i="6"/>
  <c r="L69" i="6"/>
  <c r="L60" i="6"/>
  <c r="L15" i="6"/>
  <c r="L114" i="6"/>
  <c r="L157" i="6"/>
  <c r="L202" i="6"/>
  <c r="L13" i="6"/>
  <c r="L36" i="6"/>
  <c r="L179" i="6"/>
  <c r="L107" i="6"/>
  <c r="L63" i="6"/>
  <c r="L105" i="6"/>
  <c r="L163" i="6"/>
  <c r="L140" i="6"/>
  <c r="L78" i="6"/>
  <c r="L209" i="6"/>
  <c r="L195" i="6"/>
  <c r="L16" i="6"/>
  <c r="L121" i="6"/>
  <c r="L106" i="6"/>
  <c r="L82" i="6"/>
  <c r="L153" i="6"/>
  <c r="L19" i="6"/>
  <c r="L59" i="6"/>
  <c r="L199" i="6"/>
  <c r="L47" i="6"/>
  <c r="L14" i="6"/>
  <c r="L26" i="6"/>
  <c r="J211" i="6"/>
  <c r="L187" i="6"/>
  <c r="L97" i="6"/>
  <c r="L137" i="6"/>
  <c r="L165" i="6"/>
  <c r="L180" i="6"/>
  <c r="L65" i="6"/>
  <c r="L151" i="6"/>
  <c r="L162" i="6"/>
  <c r="AP213" i="6"/>
  <c r="L171" i="6"/>
  <c r="L183" i="6"/>
  <c r="N41" i="6"/>
  <c r="N81" i="6"/>
  <c r="N10" i="6"/>
  <c r="N99" i="6"/>
  <c r="N132" i="6"/>
  <c r="N15" i="6"/>
  <c r="N26" i="6"/>
  <c r="N55" i="6"/>
  <c r="N13" i="6"/>
  <c r="N49" i="6"/>
  <c r="N77" i="6"/>
  <c r="N35" i="6"/>
  <c r="N70" i="6"/>
  <c r="N59" i="6"/>
  <c r="N205" i="6"/>
  <c r="N42" i="6"/>
  <c r="N71" i="6"/>
  <c r="N94" i="6"/>
  <c r="N203" i="6"/>
  <c r="N61" i="6"/>
  <c r="N102" i="6"/>
  <c r="N51" i="6"/>
  <c r="N208" i="6"/>
  <c r="N62" i="6"/>
  <c r="N122" i="6"/>
  <c r="N145" i="6"/>
  <c r="N153" i="6"/>
  <c r="N161" i="6"/>
  <c r="N169" i="6"/>
  <c r="N177" i="6"/>
  <c r="N103" i="6"/>
  <c r="N58" i="6"/>
  <c r="N117" i="6"/>
  <c r="N63" i="6"/>
  <c r="N144" i="6"/>
  <c r="N152" i="6"/>
  <c r="N160" i="6"/>
  <c r="N168" i="6"/>
  <c r="N176" i="6"/>
  <c r="N39" i="6"/>
  <c r="N112" i="6"/>
  <c r="N57" i="6"/>
  <c r="N142" i="6"/>
  <c r="N123" i="6"/>
  <c r="N125" i="6"/>
  <c r="N202" i="6"/>
  <c r="N32" i="6"/>
  <c r="N60" i="6"/>
  <c r="N19" i="6"/>
  <c r="N54" i="6"/>
  <c r="N18" i="6"/>
  <c r="N47" i="6"/>
  <c r="N82" i="6"/>
  <c r="N80" i="6"/>
  <c r="N207" i="6"/>
  <c r="N44" i="6"/>
  <c r="N75" i="6"/>
  <c r="N22" i="6"/>
  <c r="N11" i="6"/>
  <c r="N69" i="6"/>
  <c r="N20" i="6"/>
  <c r="N56" i="6"/>
  <c r="N21" i="6"/>
  <c r="N91" i="6"/>
  <c r="N130" i="6"/>
  <c r="N147" i="6"/>
  <c r="N155" i="6"/>
  <c r="N163" i="6"/>
  <c r="N171" i="6"/>
  <c r="N179" i="6"/>
  <c r="N113" i="6"/>
  <c r="N83" i="6"/>
  <c r="N121" i="6"/>
  <c r="N101" i="6"/>
  <c r="N146" i="6"/>
  <c r="N154" i="6"/>
  <c r="N162" i="6"/>
  <c r="N170" i="6"/>
  <c r="N178" i="6"/>
  <c r="N87" i="6"/>
  <c r="N109" i="6"/>
  <c r="N14" i="6"/>
  <c r="N78" i="6"/>
  <c r="N72" i="6"/>
  <c r="N65" i="6"/>
  <c r="N90" i="6"/>
  <c r="N67" i="6"/>
  <c r="N53" i="6"/>
  <c r="N98" i="6"/>
  <c r="N74" i="6"/>
  <c r="N106" i="6"/>
  <c r="N150" i="6"/>
  <c r="N167" i="6"/>
  <c r="N68" i="6"/>
  <c r="N96" i="6"/>
  <c r="N135" i="6"/>
  <c r="N158" i="6"/>
  <c r="N174" i="6"/>
  <c r="N97" i="6"/>
  <c r="N50" i="6"/>
  <c r="N114" i="6"/>
  <c r="N76" i="6"/>
  <c r="N141" i="6"/>
  <c r="N107" i="6"/>
  <c r="N43" i="6"/>
  <c r="N36" i="6"/>
  <c r="N30" i="6"/>
  <c r="N40" i="6"/>
  <c r="N89" i="6"/>
  <c r="N28" i="6"/>
  <c r="N45" i="6"/>
  <c r="N143" i="6"/>
  <c r="N159" i="6"/>
  <c r="N12" i="6"/>
  <c r="N137" i="6"/>
  <c r="N151" i="6"/>
  <c r="N166" i="6"/>
  <c r="N182" i="6"/>
  <c r="N209" i="6"/>
  <c r="N128" i="6"/>
  <c r="N119" i="6"/>
  <c r="N124" i="6"/>
  <c r="N140" i="6"/>
  <c r="N73" i="6"/>
  <c r="N52" i="6"/>
  <c r="N46" i="6"/>
  <c r="N48" i="6"/>
  <c r="N139" i="6"/>
  <c r="N93" i="6"/>
  <c r="N115" i="6"/>
  <c r="N37" i="6"/>
  <c r="N31" i="6"/>
  <c r="N24" i="6"/>
  <c r="N16" i="6"/>
  <c r="N38" i="6"/>
  <c r="N84" i="6"/>
  <c r="N17" i="6"/>
  <c r="N23" i="6"/>
  <c r="N33" i="6"/>
  <c r="N138" i="6"/>
  <c r="N157" i="6"/>
  <c r="N173" i="6"/>
  <c r="N126" i="6"/>
  <c r="N129" i="6"/>
  <c r="N149" i="6"/>
  <c r="N164" i="6"/>
  <c r="N180" i="6"/>
  <c r="N204" i="6"/>
  <c r="N105" i="6"/>
  <c r="N120" i="6"/>
  <c r="N116" i="6"/>
  <c r="N110" i="6"/>
  <c r="N131" i="6"/>
  <c r="N133" i="6"/>
  <c r="N27" i="6"/>
  <c r="N88" i="6"/>
  <c r="N29" i="6"/>
  <c r="N25" i="6"/>
  <c r="N175" i="6"/>
  <c r="N108" i="6"/>
  <c r="N95" i="6"/>
  <c r="N104" i="6"/>
  <c r="N206" i="6"/>
  <c r="N66" i="6"/>
  <c r="N85" i="6"/>
  <c r="N79" i="6"/>
  <c r="N148" i="6"/>
  <c r="N127" i="6"/>
  <c r="N34" i="6"/>
  <c r="N118" i="6"/>
  <c r="N86" i="6"/>
  <c r="N134" i="6"/>
  <c r="N165" i="6"/>
  <c r="N156" i="6"/>
  <c r="N111" i="6"/>
  <c r="N64" i="6"/>
  <c r="N181" i="6"/>
  <c r="N172" i="6"/>
  <c r="N136" i="6"/>
  <c r="N100" i="6"/>
  <c r="N92" i="6"/>
  <c r="N186" i="6"/>
  <c r="N184" i="6"/>
  <c r="N195" i="6"/>
  <c r="N191" i="6"/>
  <c r="N193" i="6"/>
  <c r="N199" i="6"/>
  <c r="N187" i="6"/>
  <c r="N185" i="6"/>
  <c r="N189" i="6"/>
  <c r="N190" i="6"/>
  <c r="N201" i="6"/>
  <c r="N210" i="6"/>
  <c r="N192" i="6"/>
  <c r="N198" i="6"/>
  <c r="N183" i="6"/>
  <c r="N188" i="6"/>
  <c r="N200" i="6"/>
  <c r="N197" i="6"/>
  <c r="N196" i="6"/>
  <c r="N213" i="6"/>
  <c r="L53" i="6"/>
  <c r="O167" i="6"/>
  <c r="O182" i="6"/>
  <c r="O170" i="6"/>
  <c r="O160" i="6"/>
  <c r="O152" i="6"/>
  <c r="O144" i="6"/>
  <c r="O133" i="6"/>
  <c r="O155" i="6"/>
  <c r="O93" i="6"/>
  <c r="O124" i="6"/>
  <c r="O38" i="6"/>
  <c r="O67" i="6"/>
  <c r="O206" i="6"/>
  <c r="O37" i="6"/>
  <c r="O73" i="6"/>
  <c r="O12" i="6"/>
  <c r="O48" i="6"/>
  <c r="O76" i="6"/>
  <c r="O22" i="6"/>
  <c r="O51" i="6"/>
  <c r="O13" i="6"/>
  <c r="O65" i="6"/>
  <c r="O97" i="6"/>
  <c r="O101" i="6"/>
  <c r="O105" i="6"/>
  <c r="O109" i="6"/>
  <c r="O113" i="6"/>
  <c r="O117" i="6"/>
  <c r="O35" i="6"/>
  <c r="O81" i="6"/>
  <c r="O203" i="6"/>
  <c r="O89" i="6"/>
  <c r="O54" i="6"/>
  <c r="O123" i="6"/>
  <c r="O128" i="6"/>
  <c r="O80" i="6"/>
  <c r="O75" i="6"/>
  <c r="O138" i="6"/>
  <c r="O83" i="6"/>
  <c r="O137" i="6"/>
  <c r="O135" i="6"/>
  <c r="O159" i="6"/>
  <c r="O145" i="6"/>
  <c r="O142" i="6"/>
  <c r="O68" i="6"/>
  <c r="O90" i="6"/>
  <c r="O179" i="6"/>
  <c r="O161" i="6"/>
  <c r="O178" i="6"/>
  <c r="O166" i="6"/>
  <c r="O158" i="6"/>
  <c r="O150" i="6"/>
  <c r="O125" i="6"/>
  <c r="O181" i="6"/>
  <c r="O149" i="6"/>
  <c r="O207" i="6"/>
  <c r="O15" i="6"/>
  <c r="O50" i="6"/>
  <c r="O79" i="6"/>
  <c r="O14" i="6"/>
  <c r="O43" i="6"/>
  <c r="O78" i="6"/>
  <c r="O25" i="6"/>
  <c r="O53" i="6"/>
  <c r="O204" i="6"/>
  <c r="O24" i="6"/>
  <c r="O74" i="6"/>
  <c r="O34" i="6"/>
  <c r="O69" i="6"/>
  <c r="O98" i="6"/>
  <c r="O102" i="6"/>
  <c r="O106" i="6"/>
  <c r="O110" i="6"/>
  <c r="O114" i="6"/>
  <c r="O118" i="6"/>
  <c r="O40" i="6"/>
  <c r="O87" i="6"/>
  <c r="O17" i="6"/>
  <c r="O94" i="6"/>
  <c r="O70" i="6"/>
  <c r="O131" i="6"/>
  <c r="O136" i="6"/>
  <c r="O208" i="6"/>
  <c r="O91" i="6"/>
  <c r="O31" i="6"/>
  <c r="O86" i="6"/>
  <c r="O23" i="6"/>
  <c r="O177" i="6"/>
  <c r="O157" i="6"/>
  <c r="O143" i="6"/>
  <c r="O134" i="6"/>
  <c r="O171" i="6"/>
  <c r="O172" i="6"/>
  <c r="O154" i="6"/>
  <c r="O39" i="6"/>
  <c r="O163" i="6"/>
  <c r="O141" i="6"/>
  <c r="O61" i="6"/>
  <c r="O32" i="6"/>
  <c r="O209" i="6"/>
  <c r="O71" i="6"/>
  <c r="O49" i="6"/>
  <c r="O63" i="6"/>
  <c r="O100" i="6"/>
  <c r="O108" i="6"/>
  <c r="O116" i="6"/>
  <c r="O58" i="6"/>
  <c r="O77" i="6"/>
  <c r="O88" i="6"/>
  <c r="O64" i="6"/>
  <c r="O130" i="6"/>
  <c r="O129" i="6"/>
  <c r="O165" i="6"/>
  <c r="O126" i="6"/>
  <c r="O41" i="6"/>
  <c r="O147" i="6"/>
  <c r="O176" i="6"/>
  <c r="O156" i="6"/>
  <c r="O174" i="6"/>
  <c r="O26" i="6"/>
  <c r="O59" i="6"/>
  <c r="O28" i="6"/>
  <c r="O99" i="6"/>
  <c r="O115" i="6"/>
  <c r="O46" i="6"/>
  <c r="O10" i="6"/>
  <c r="O121" i="6"/>
  <c r="O140" i="6"/>
  <c r="O153" i="6"/>
  <c r="O164" i="6"/>
  <c r="O148" i="6"/>
  <c r="O44" i="6"/>
  <c r="O20" i="6"/>
  <c r="O84" i="6"/>
  <c r="O55" i="6"/>
  <c r="O30" i="6"/>
  <c r="O18" i="6"/>
  <c r="O82" i="6"/>
  <c r="O95" i="6"/>
  <c r="O103" i="6"/>
  <c r="O111" i="6"/>
  <c r="O119" i="6"/>
  <c r="O92" i="6"/>
  <c r="O29" i="6"/>
  <c r="O139" i="6"/>
  <c r="O21" i="6"/>
  <c r="O47" i="6"/>
  <c r="O52" i="6"/>
  <c r="O151" i="6"/>
  <c r="O180" i="6"/>
  <c r="O132" i="6"/>
  <c r="O36" i="6"/>
  <c r="O19" i="6"/>
  <c r="O162" i="6"/>
  <c r="O146" i="6"/>
  <c r="O33" i="6"/>
  <c r="O202" i="6"/>
  <c r="O60" i="6"/>
  <c r="O42" i="6"/>
  <c r="O16" i="6"/>
  <c r="O11" i="6"/>
  <c r="O96" i="6"/>
  <c r="O104" i="6"/>
  <c r="O112" i="6"/>
  <c r="O27" i="6"/>
  <c r="O66" i="6"/>
  <c r="O120" i="6"/>
  <c r="O62" i="6"/>
  <c r="O72" i="6"/>
  <c r="O127" i="6"/>
  <c r="O168" i="6"/>
  <c r="O175" i="6"/>
  <c r="O173" i="6"/>
  <c r="O56" i="6"/>
  <c r="O205" i="6"/>
  <c r="O57" i="6"/>
  <c r="O107" i="6"/>
  <c r="O45" i="6"/>
  <c r="O85" i="6"/>
  <c r="O122" i="6"/>
  <c r="O169" i="6"/>
  <c r="O198" i="6"/>
  <c r="O183" i="6"/>
  <c r="O200" i="6"/>
  <c r="O190" i="6"/>
  <c r="O187" i="6"/>
  <c r="O186" i="6"/>
  <c r="O201" i="6"/>
  <c r="O184" i="6"/>
  <c r="O192" i="6"/>
  <c r="O195" i="6"/>
  <c r="O191" i="6"/>
  <c r="O196" i="6"/>
  <c r="O193" i="6"/>
  <c r="O188" i="6"/>
  <c r="O185" i="6"/>
  <c r="O210" i="6"/>
  <c r="O189" i="6"/>
  <c r="O197" i="6"/>
  <c r="O199" i="6"/>
  <c r="O213" i="6"/>
  <c r="AK211" i="6"/>
  <c r="AK214" i="6" s="1"/>
  <c r="AK216" i="6" s="1"/>
  <c r="D33" i="20" l="1"/>
  <c r="L211" i="6"/>
  <c r="L216" i="6" s="1"/>
  <c r="E33" i="20"/>
  <c r="E49" i="20"/>
  <c r="D49" i="20"/>
  <c r="E245" i="20"/>
  <c r="N211" i="6"/>
  <c r="N214" i="6" s="1"/>
  <c r="N216" i="6" s="1"/>
  <c r="O211" i="6"/>
  <c r="O214" i="6" s="1"/>
  <c r="O216" i="6" s="1"/>
  <c r="AO211" i="6"/>
  <c r="AO218" i="6" s="1"/>
  <c r="AP211" i="6"/>
  <c r="AP218" i="6" s="1"/>
  <c r="F33" i="20" l="1"/>
  <c r="F49" i="20"/>
  <c r="D247" i="20"/>
  <c r="F245" i="20"/>
  <c r="E247" i="20"/>
  <c r="AO214" i="6"/>
  <c r="AP214" i="6"/>
  <c r="F247" i="20" l="1"/>
  <c r="AD16" i="3"/>
  <c r="AO19" i="3" l="1"/>
  <c r="AJ10" i="3" l="1"/>
  <c r="AJ16" i="3" s="1"/>
  <c r="AJ19" i="3" s="1"/>
  <c r="AI16" i="3"/>
  <c r="AI19" i="3" s="1"/>
  <c r="AI21" i="3" s="1"/>
  <c r="O13" i="3" l="1"/>
  <c r="N18" i="3"/>
  <c r="K14" i="3"/>
  <c r="N15" i="3" l="1"/>
  <c r="N10" i="3"/>
  <c r="O12" i="3"/>
  <c r="O18" i="3"/>
  <c r="N11" i="3"/>
  <c r="O14" i="3"/>
  <c r="K12" i="3"/>
  <c r="J14" i="3"/>
  <c r="N12" i="3"/>
  <c r="N13" i="3"/>
  <c r="K10" i="3"/>
  <c r="O11" i="3"/>
  <c r="O15" i="3"/>
  <c r="N14" i="3"/>
  <c r="O10" i="3"/>
  <c r="K15" i="3"/>
  <c r="J13" i="3"/>
  <c r="J10" i="3"/>
  <c r="K18" i="3"/>
  <c r="AP18" i="3" s="1"/>
  <c r="J11" i="3"/>
  <c r="J12" i="3"/>
  <c r="AP12" i="3" s="1"/>
  <c r="K13" i="3"/>
  <c r="J15" i="3"/>
  <c r="AP15" i="3" s="1"/>
  <c r="K11" i="3"/>
  <c r="AP10" i="3" l="1"/>
  <c r="L18" i="3"/>
  <c r="AP14" i="3"/>
  <c r="L12" i="3"/>
  <c r="L10" i="3"/>
  <c r="N16" i="3"/>
  <c r="N19" i="3" s="1"/>
  <c r="N21" i="3" s="1"/>
  <c r="O16" i="3"/>
  <c r="O19" i="3" s="1"/>
  <c r="O21" i="3" s="1"/>
  <c r="L11" i="3"/>
  <c r="AP11" i="3"/>
  <c r="L13" i="3"/>
  <c r="L15" i="3"/>
  <c r="AP13" i="3"/>
  <c r="K16" i="3"/>
  <c r="L14" i="3"/>
  <c r="J16" i="3"/>
  <c r="E23" i="20"/>
  <c r="E251" i="20" s="1"/>
  <c r="AP16" i="3" l="1"/>
  <c r="AP19" i="3" s="1"/>
  <c r="L16" i="3"/>
  <c r="D23" i="20"/>
  <c r="D251" i="20" l="1"/>
  <c r="F23" i="20"/>
  <c r="F251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contributions made by members withheld from salary
</t>
        </r>
      </text>
    </comment>
    <comment ref="G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 employer matching paid by employers. I.e. universities and state agencies.
</t>
        </r>
      </text>
    </comment>
    <comment ref="CG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contributions made by members withheld from salary
</t>
        </r>
      </text>
    </comment>
    <comment ref="CQ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contributions made by members withheld from salary
</t>
        </r>
      </text>
    </comment>
  </commentList>
</comments>
</file>

<file path=xl/sharedStrings.xml><?xml version="1.0" encoding="utf-8"?>
<sst xmlns="http://schemas.openxmlformats.org/spreadsheetml/2006/main" count="1548" uniqueCount="734">
  <si>
    <t>Employer Matching Contributions</t>
  </si>
  <si>
    <t>Critical Shortage</t>
  </si>
  <si>
    <t>ORP Contribution</t>
  </si>
  <si>
    <t>Re-employed Retiree Contributions</t>
  </si>
  <si>
    <t>IPS Payments</t>
  </si>
  <si>
    <t>Southeast South-Central Educational Cooperative</t>
  </si>
  <si>
    <t>Total 2014</t>
  </si>
  <si>
    <t>Change</t>
  </si>
  <si>
    <t>Required Increase</t>
  </si>
  <si>
    <t>Local School Districts</t>
  </si>
  <si>
    <t>Regional Coops</t>
  </si>
  <si>
    <t>Before 7/1/08</t>
  </si>
  <si>
    <t>On or after 7/1/08</t>
  </si>
  <si>
    <t>State Agencies and misc districts</t>
  </si>
  <si>
    <t>Universities</t>
  </si>
  <si>
    <t>Non-state agencies</t>
  </si>
  <si>
    <t>4450-14</t>
  </si>
  <si>
    <t>4460-16</t>
  </si>
  <si>
    <t>4460-24</t>
  </si>
  <si>
    <t>4475-21</t>
  </si>
  <si>
    <t>4735-18</t>
  </si>
  <si>
    <t>On or After 7/1/08</t>
  </si>
  <si>
    <t>Employer Federal Matching Contributions</t>
  </si>
  <si>
    <t>4750-18</t>
  </si>
  <si>
    <t>Re-Employ Retiree</t>
  </si>
  <si>
    <t>ORP</t>
  </si>
  <si>
    <t>4740-18</t>
  </si>
  <si>
    <t>STATE OF KENTUCKY</t>
  </si>
  <si>
    <t>4400-14</t>
  </si>
  <si>
    <t>4710-18</t>
  </si>
  <si>
    <t>4400-21</t>
  </si>
  <si>
    <t>4410-24</t>
  </si>
  <si>
    <t>Allotment</t>
  </si>
  <si>
    <t>4705-18</t>
  </si>
  <si>
    <t>4715-18</t>
  </si>
  <si>
    <t>4720-18</t>
  </si>
  <si>
    <t>4415-24</t>
  </si>
  <si>
    <t>State MIF</t>
  </si>
  <si>
    <t>Sick Leave</t>
  </si>
  <si>
    <t>4485-13</t>
  </si>
  <si>
    <t>Other Employer Contribution</t>
  </si>
  <si>
    <t>4455-14</t>
  </si>
  <si>
    <t>Special Adjustments</t>
  </si>
  <si>
    <t>4900-14</t>
  </si>
  <si>
    <t>4770-13</t>
  </si>
  <si>
    <t>University Contrib .02215</t>
  </si>
  <si>
    <t>4465-16</t>
  </si>
  <si>
    <t>Employer Other</t>
  </si>
  <si>
    <t>Late Penalty</t>
  </si>
  <si>
    <t>4725-18</t>
  </si>
  <si>
    <t>Overmatch Other</t>
  </si>
  <si>
    <t>4736-18</t>
  </si>
  <si>
    <t>Retirement Incentive</t>
  </si>
  <si>
    <t>4760-18</t>
  </si>
  <si>
    <t>4455-21</t>
  </si>
  <si>
    <t>4900-18</t>
  </si>
  <si>
    <t>Excess Benefit</t>
  </si>
  <si>
    <t>4500-22</t>
  </si>
  <si>
    <t>4465-24</t>
  </si>
  <si>
    <t>Total Employer Contributions</t>
  </si>
  <si>
    <t>Pension</t>
  </si>
  <si>
    <t>Medical</t>
  </si>
  <si>
    <t>Life</t>
  </si>
  <si>
    <t>Other</t>
  </si>
  <si>
    <t>Total</t>
  </si>
  <si>
    <t>% of NPL</t>
  </si>
  <si>
    <t>Pension - % of Employer Contributions</t>
  </si>
  <si>
    <t>Participating Employer</t>
  </si>
  <si>
    <t>Proportionate</t>
  </si>
  <si>
    <t>Discount Rate</t>
  </si>
  <si>
    <t>Less 1.00%</t>
  </si>
  <si>
    <t>Plus 1.00%</t>
  </si>
  <si>
    <t>Liability</t>
  </si>
  <si>
    <t>Experience</t>
  </si>
  <si>
    <t>Changes</t>
  </si>
  <si>
    <t>Assumption</t>
  </si>
  <si>
    <t>Investment</t>
  </si>
  <si>
    <t>Change in</t>
  </si>
  <si>
    <t>Allocated</t>
  </si>
  <si>
    <t>Proportion</t>
  </si>
  <si>
    <t>Contributions</t>
  </si>
  <si>
    <t>Outstanding Balance of Deferred Outflows of Resources</t>
  </si>
  <si>
    <t>Outstanding Balance of Deferred Inflows of Resources</t>
  </si>
  <si>
    <t>Thereafter</t>
  </si>
  <si>
    <t>Recognition of Existing Deferred Outflows (Inflows) of Resources for</t>
  </si>
  <si>
    <t>Future Plan Years Ending June 30,</t>
  </si>
  <si>
    <t>Net Pension Liability</t>
  </si>
  <si>
    <t>PENSION - Employer contributions used in Proportionate Share Calculation</t>
  </si>
  <si>
    <t>should we split out unfunded based on employer?</t>
  </si>
  <si>
    <t>based on the retirement formula.</t>
  </si>
  <si>
    <t>Should we determine the employer for each member to allocate a member's actual liability.</t>
  </si>
  <si>
    <t>Schedule of Employer Allocations</t>
  </si>
  <si>
    <t>University Employers</t>
  </si>
  <si>
    <t>Eastern Kentucky University</t>
  </si>
  <si>
    <t>Kentucky State University</t>
  </si>
  <si>
    <t>Morehead State University</t>
  </si>
  <si>
    <t>Murray State University</t>
  </si>
  <si>
    <t>Western Kentucky University</t>
  </si>
  <si>
    <t>KCTCS Central Office</t>
  </si>
  <si>
    <t>Non-University Employers</t>
  </si>
  <si>
    <t>KY High School Athletic Association</t>
  </si>
  <si>
    <t>KY School Boards Association</t>
  </si>
  <si>
    <t>KY Education Association</t>
  </si>
  <si>
    <t>KY Academic Association</t>
  </si>
  <si>
    <t>Technical Education District - Madisonville</t>
  </si>
  <si>
    <t>Technical Education District - Bowling Green</t>
  </si>
  <si>
    <t>Technical Education District - Elizabethtown</t>
  </si>
  <si>
    <t>Technical Education District - Frankfort</t>
  </si>
  <si>
    <t>Technical Education District - Hazard</t>
  </si>
  <si>
    <t>Adult Council on Post Secondary Education</t>
  </si>
  <si>
    <t>Office of Career and Technical Education</t>
  </si>
  <si>
    <t>Office of Secretary of Workforce Investment</t>
  </si>
  <si>
    <t>Department for Vocational Rehabilitation</t>
  </si>
  <si>
    <t>Department of Corrections</t>
  </si>
  <si>
    <t>School for the Blind</t>
  </si>
  <si>
    <t>School for the Deaf</t>
  </si>
  <si>
    <t>Department of Education</t>
  </si>
  <si>
    <t>Jefferson County Teachers' Association</t>
  </si>
  <si>
    <t>State Agencies</t>
  </si>
  <si>
    <t>Education Professional Standards Board</t>
  </si>
  <si>
    <t>Local School Districts and Educational Cooperatives</t>
  </si>
  <si>
    <t>Adair County Schools</t>
  </si>
  <si>
    <t>Allen County Schools</t>
  </si>
  <si>
    <t>Anderson County Schools</t>
  </si>
  <si>
    <t>Ballard County Schools</t>
  </si>
  <si>
    <t>Barren County Schools</t>
  </si>
  <si>
    <t>Bath County Schools</t>
  </si>
  <si>
    <t>Bell County Schools</t>
  </si>
  <si>
    <t>Boone County Schools</t>
  </si>
  <si>
    <t>Bourbon County Schools</t>
  </si>
  <si>
    <t>Boyd County Schools</t>
  </si>
  <si>
    <t>Boyle County Schools</t>
  </si>
  <si>
    <t>Bracken County Schools</t>
  </si>
  <si>
    <t>Breathitt County Schools</t>
  </si>
  <si>
    <t>Breckinridge County Schools</t>
  </si>
  <si>
    <t>Bullitt County Schools</t>
  </si>
  <si>
    <t>Butler County Schools</t>
  </si>
  <si>
    <t>Caldwell County Schools</t>
  </si>
  <si>
    <t>Calloway County Schools</t>
  </si>
  <si>
    <t>Campbell County Schools</t>
  </si>
  <si>
    <t>Carlisle County Schools</t>
  </si>
  <si>
    <t>Carroll County Schools</t>
  </si>
  <si>
    <t>Carter County Schools</t>
  </si>
  <si>
    <t>Casey County Schools</t>
  </si>
  <si>
    <t>Christian County Schools</t>
  </si>
  <si>
    <t>Clark County Schools</t>
  </si>
  <si>
    <t>Clay County Schools</t>
  </si>
  <si>
    <t>Clinton County Schools</t>
  </si>
  <si>
    <t>Crittenden County Schools</t>
  </si>
  <si>
    <t>Cumberland County Schools</t>
  </si>
  <si>
    <t>Daviess County Schools</t>
  </si>
  <si>
    <t>Edmonson County Schools</t>
  </si>
  <si>
    <t>Elliott County Schools</t>
  </si>
  <si>
    <t>Estill County Schools</t>
  </si>
  <si>
    <t>Fayette County Schools</t>
  </si>
  <si>
    <t>Fleming County Schools</t>
  </si>
  <si>
    <t>Floyd County Schools</t>
  </si>
  <si>
    <t>Franklin County Schools</t>
  </si>
  <si>
    <t>Fulton County Schools</t>
  </si>
  <si>
    <t>Gallatin County Schools</t>
  </si>
  <si>
    <t>Garrard County Schools</t>
  </si>
  <si>
    <t>Grant County Schools</t>
  </si>
  <si>
    <t>Graves County Schools</t>
  </si>
  <si>
    <t>Grayson County Schools</t>
  </si>
  <si>
    <t>Green County Schools</t>
  </si>
  <si>
    <t>Greenup County Schools</t>
  </si>
  <si>
    <t>Hancock County Schools</t>
  </si>
  <si>
    <t>Hardin County Schools</t>
  </si>
  <si>
    <t>Harlan County Schools</t>
  </si>
  <si>
    <t>Harrison County Schools</t>
  </si>
  <si>
    <t>Hart County Schools</t>
  </si>
  <si>
    <t>Henderson County Schools</t>
  </si>
  <si>
    <t>Henry County Schools</t>
  </si>
  <si>
    <t>Hickman County Schools</t>
  </si>
  <si>
    <t>Hopkins County Schools</t>
  </si>
  <si>
    <t>Jackson County Schools</t>
  </si>
  <si>
    <t>Jefferson County Schools</t>
  </si>
  <si>
    <t>Jessamine County Schools</t>
  </si>
  <si>
    <t>Johnson County Schools</t>
  </si>
  <si>
    <t>Kenton County Schools</t>
  </si>
  <si>
    <t>Knott Counts Schools</t>
  </si>
  <si>
    <t>Knox County Schools</t>
  </si>
  <si>
    <t>Larue County Schools</t>
  </si>
  <si>
    <t>Laurel County Schools</t>
  </si>
  <si>
    <t>Lawrence County Schools</t>
  </si>
  <si>
    <t>Lee County Schools</t>
  </si>
  <si>
    <t>Leslie County Schools</t>
  </si>
  <si>
    <t>Letcher County Schools</t>
  </si>
  <si>
    <t>Lewis County Schools</t>
  </si>
  <si>
    <t>Lincoln County Schools</t>
  </si>
  <si>
    <t>Livingston County Schools</t>
  </si>
  <si>
    <t>Logan County Schools</t>
  </si>
  <si>
    <t>Lyon County Schools</t>
  </si>
  <si>
    <t>Madison County Schools</t>
  </si>
  <si>
    <t>Magoffin County Schools</t>
  </si>
  <si>
    <t>Marion County Schools</t>
  </si>
  <si>
    <t>Marshall County Schools</t>
  </si>
  <si>
    <t>Martin County Schools</t>
  </si>
  <si>
    <t>Mason County Schools</t>
  </si>
  <si>
    <t>McCracken County Schools</t>
  </si>
  <si>
    <t>McCreary County Schools</t>
  </si>
  <si>
    <t>McLean County Schools</t>
  </si>
  <si>
    <t>Meade County Schools</t>
  </si>
  <si>
    <t>Menifee County Schools</t>
  </si>
  <si>
    <t>Mercer County Schools</t>
  </si>
  <si>
    <t>Metcalf County Schools</t>
  </si>
  <si>
    <t>Monroe County Schools</t>
  </si>
  <si>
    <t>Montgomery County Schools</t>
  </si>
  <si>
    <t>Morgan County Schools</t>
  </si>
  <si>
    <t>Nelson County Schools</t>
  </si>
  <si>
    <t>Nicholas County Schools</t>
  </si>
  <si>
    <t>Ohio County Schools</t>
  </si>
  <si>
    <t>Oldham County Schools</t>
  </si>
  <si>
    <t>Owen County Schools</t>
  </si>
  <si>
    <t>Owsley County Schools</t>
  </si>
  <si>
    <t>Pendleton County Schools</t>
  </si>
  <si>
    <t>Perry County Schools</t>
  </si>
  <si>
    <t>Pike County Schools</t>
  </si>
  <si>
    <t>Powell County Schools</t>
  </si>
  <si>
    <t>Pulaski County Schools</t>
  </si>
  <si>
    <t>Robertson County Schools</t>
  </si>
  <si>
    <t>Rockcastle County Schools</t>
  </si>
  <si>
    <t>Rowan County Schools</t>
  </si>
  <si>
    <t>Russell County Schools</t>
  </si>
  <si>
    <t>Scott County Schools</t>
  </si>
  <si>
    <t>Shelby County Schools</t>
  </si>
  <si>
    <t>Simpson County Schools</t>
  </si>
  <si>
    <t>Spencer County Schools</t>
  </si>
  <si>
    <t>Taylor County Schools</t>
  </si>
  <si>
    <t>Todd County Schools</t>
  </si>
  <si>
    <t>Trigg County Schools</t>
  </si>
  <si>
    <t>Trimble County Schools</t>
  </si>
  <si>
    <t>Union County Schools</t>
  </si>
  <si>
    <t>Warren County Schools</t>
  </si>
  <si>
    <t>Washington County Schools</t>
  </si>
  <si>
    <t>Wayne County Schools</t>
  </si>
  <si>
    <t>Webster County Schools</t>
  </si>
  <si>
    <t>Whitley County Schools</t>
  </si>
  <si>
    <t>Wolfe County Schools</t>
  </si>
  <si>
    <t>Woodford County Schools</t>
  </si>
  <si>
    <t>Anchorage City Schools</t>
  </si>
  <si>
    <t>Ashland City Schools</t>
  </si>
  <si>
    <t>Augusta City Schools</t>
  </si>
  <si>
    <t>Barbourville City Schools</t>
  </si>
  <si>
    <t>Bardstown City Schools</t>
  </si>
  <si>
    <t>Beechwood Independent Schools</t>
  </si>
  <si>
    <t>Bellevue City Schools</t>
  </si>
  <si>
    <t>Berea City Schools</t>
  </si>
  <si>
    <t>Bowling Green City Schools</t>
  </si>
  <si>
    <t>Burgin City Schools</t>
  </si>
  <si>
    <t>Campbellsville City Schools</t>
  </si>
  <si>
    <t>Caverna City Schools</t>
  </si>
  <si>
    <t>Cloverport City Schools</t>
  </si>
  <si>
    <t>Corbin City Schools</t>
  </si>
  <si>
    <t>Covington City Schools</t>
  </si>
  <si>
    <t>Danville City Schools</t>
  </si>
  <si>
    <t>Dawson Springs City Schools</t>
  </si>
  <si>
    <t>Dayton City Schools</t>
  </si>
  <si>
    <t>East Bernstadt City Schools</t>
  </si>
  <si>
    <t>Elizabethtown City Schools</t>
  </si>
  <si>
    <t>Eminence Independent Schools</t>
  </si>
  <si>
    <t>Erlanger-Elsmere City Schools</t>
  </si>
  <si>
    <t>Fairview Independent Schools</t>
  </si>
  <si>
    <t>Fort Thomas Independent Schools</t>
  </si>
  <si>
    <t>Frankfort City Schools</t>
  </si>
  <si>
    <t>Fulton City Schools</t>
  </si>
  <si>
    <t>Glasgow City Schools</t>
  </si>
  <si>
    <t>Harlan City Schools</t>
  </si>
  <si>
    <t>Hazard Independent Schools</t>
  </si>
  <si>
    <t>Jackson City Schools</t>
  </si>
  <si>
    <t>Jenkins City Schools</t>
  </si>
  <si>
    <t>Ludlow City Schools</t>
  </si>
  <si>
    <t>Mayfield City Schools</t>
  </si>
  <si>
    <t>Middlesboro City Schools</t>
  </si>
  <si>
    <t>Murray City Schools</t>
  </si>
  <si>
    <t>Newport City Schools</t>
  </si>
  <si>
    <t>Owensboro City Schools</t>
  </si>
  <si>
    <t>Paducah City Schools</t>
  </si>
  <si>
    <t>Paintsville City Schools</t>
  </si>
  <si>
    <t>Paris City Schools</t>
  </si>
  <si>
    <t>Pikeville City Schools</t>
  </si>
  <si>
    <t>Pineville City Schools</t>
  </si>
  <si>
    <t>Raceland City Schools</t>
  </si>
  <si>
    <t>Russell City Schools</t>
  </si>
  <si>
    <t>Russellville City Schools</t>
  </si>
  <si>
    <t>Science Hill City Schools</t>
  </si>
  <si>
    <t>Silver Grove City Schools</t>
  </si>
  <si>
    <t>Somerset City Schools</t>
  </si>
  <si>
    <t>Southgate City Schools</t>
  </si>
  <si>
    <t>West Point City Schools</t>
  </si>
  <si>
    <t>Williamsburg City Schools</t>
  </si>
  <si>
    <t>Williamstown City Schools</t>
  </si>
  <si>
    <t>Ohio Valley Educational Cooperative</t>
  </si>
  <si>
    <t>West Kentucky Educational Cooperative</t>
  </si>
  <si>
    <t>Green River Regional Educational Cooperative</t>
  </si>
  <si>
    <t>Central KY Special Education Cooperative</t>
  </si>
  <si>
    <t>KY Educational Development Corporation</t>
  </si>
  <si>
    <t>Northern KY Cooperative for Educational Services</t>
  </si>
  <si>
    <t>Commonwealth of Kentucky</t>
  </si>
  <si>
    <t>KY Valley Educational Cooperative</t>
  </si>
  <si>
    <t>Employer MIF</t>
  </si>
  <si>
    <t>Muhlenberg County Schools</t>
  </si>
  <si>
    <t>Walton-Verona Independent Schools</t>
  </si>
  <si>
    <t xml:space="preserve"> </t>
  </si>
  <si>
    <t>cola</t>
  </si>
  <si>
    <t>min val</t>
  </si>
  <si>
    <t>allocate among all employers based on other %</t>
  </si>
  <si>
    <t>sick leave - allocate among only public schools</t>
  </si>
  <si>
    <t>special funding</t>
  </si>
  <si>
    <t>total for notes</t>
  </si>
  <si>
    <t>State Contrib</t>
  </si>
  <si>
    <t>amt for pension expense</t>
  </si>
  <si>
    <t xml:space="preserve">Total </t>
  </si>
  <si>
    <t>Actual</t>
  </si>
  <si>
    <t>Employer</t>
  </si>
  <si>
    <t xml:space="preserve">amount to allocate of employer </t>
  </si>
  <si>
    <t>total to allocate</t>
  </si>
  <si>
    <t>total special fund</t>
  </si>
  <si>
    <t>on behalf - colas</t>
  </si>
  <si>
    <t>Employer Allocation Percentage</t>
  </si>
  <si>
    <t>balance sheet</t>
  </si>
  <si>
    <t>on behalf - match</t>
  </si>
  <si>
    <t>on behalf - sick</t>
  </si>
  <si>
    <t>Amount to allocate of special appropriation</t>
  </si>
  <si>
    <t>Total Contributions CAFR</t>
  </si>
  <si>
    <t>difference = contributions not allocated</t>
  </si>
  <si>
    <t xml:space="preserve">  (federal, univ sick lump sums, critical, re-empl, etc)</t>
  </si>
  <si>
    <t>total special state appropriation</t>
  </si>
  <si>
    <t>"other"  - balancing item</t>
  </si>
  <si>
    <t>Share state</t>
  </si>
  <si>
    <t>Share - er</t>
  </si>
  <si>
    <t>Share total</t>
  </si>
  <si>
    <t xml:space="preserve">   Total</t>
  </si>
  <si>
    <t>Expense ER</t>
  </si>
  <si>
    <t xml:space="preserve">Revenue </t>
  </si>
  <si>
    <t xml:space="preserve">State </t>
  </si>
  <si>
    <t>Support</t>
  </si>
  <si>
    <t>Net</t>
  </si>
  <si>
    <t>balance due to rounding</t>
  </si>
  <si>
    <t>Share ER CAFR</t>
  </si>
  <si>
    <t>Share state CAFR</t>
  </si>
  <si>
    <t>Share total -notes</t>
  </si>
  <si>
    <t>Total University</t>
  </si>
  <si>
    <t>TOTAL NON-UNIVERSITY</t>
  </si>
  <si>
    <t>Expense</t>
  </si>
  <si>
    <t>Balance to EOY</t>
  </si>
  <si>
    <t>Difference</t>
  </si>
  <si>
    <t>Schedules of Pension Amounts by Employer</t>
  </si>
  <si>
    <t>Deferred Outflows of Resources</t>
  </si>
  <si>
    <t>Deferred Inflows of Resources</t>
  </si>
  <si>
    <t>Deferred Amounts</t>
  </si>
  <si>
    <t>Changes in</t>
  </si>
  <si>
    <t>from Changes in</t>
  </si>
  <si>
    <t>Net Difference</t>
  </si>
  <si>
    <t>Between</t>
  </si>
  <si>
    <t>and Differences</t>
  </si>
  <si>
    <t>Projected</t>
  </si>
  <si>
    <t>and Actual</t>
  </si>
  <si>
    <t>Differences</t>
  </si>
  <si>
    <t>Deferred</t>
  </si>
  <si>
    <t>Share of</t>
  </si>
  <si>
    <t>Expected</t>
  </si>
  <si>
    <t>Earnings on</t>
  </si>
  <si>
    <t>and Proportionate</t>
  </si>
  <si>
    <t>Outflows</t>
  </si>
  <si>
    <t>Inflows</t>
  </si>
  <si>
    <t>Plan</t>
  </si>
  <si>
    <t>Net Pension</t>
  </si>
  <si>
    <t>Pension Plan</t>
  </si>
  <si>
    <t>Change of</t>
  </si>
  <si>
    <t>of</t>
  </si>
  <si>
    <t>Investments</t>
  </si>
  <si>
    <t>Assumptions</t>
  </si>
  <si>
    <t>Resources</t>
  </si>
  <si>
    <t>State</t>
  </si>
  <si>
    <t>Total University Contributions</t>
  </si>
  <si>
    <t>KCTCS Central Office - University</t>
  </si>
  <si>
    <t>Employer's</t>
  </si>
  <si>
    <t>State's</t>
  </si>
  <si>
    <t>Code</t>
  </si>
  <si>
    <t>Schedule of Remaining Deferred Outflows and (Inflows)</t>
  </si>
  <si>
    <t>State's Proportionate Share of NPL - University</t>
  </si>
  <si>
    <t>State's Proportionate Share of NPL - Non-University</t>
  </si>
  <si>
    <t>and Educational Cooperatives</t>
  </si>
  <si>
    <t>Allocation Percentage</t>
  </si>
  <si>
    <t>Revenue</t>
  </si>
  <si>
    <t>Total Pension</t>
  </si>
  <si>
    <t>Employee Contributions before 7/1/2008</t>
  </si>
  <si>
    <t>Employee Contributions on or after 7/1/2008</t>
  </si>
  <si>
    <t>Total Employee Contributions</t>
  </si>
  <si>
    <t>Employer Contributions before 7/1/2008</t>
  </si>
  <si>
    <t>Employer Contributions on or after 7/1/2008</t>
  </si>
  <si>
    <t>Total Employer Matching Contributions</t>
  </si>
  <si>
    <t>Employer Matching MIF before 7/1/2008</t>
  </si>
  <si>
    <t>Employer Matching MIF on or after 7/1/2008</t>
  </si>
  <si>
    <t>Total Employer Matching Medical Fund</t>
  </si>
  <si>
    <t>Employer Federal Contributions before 7/1/2008</t>
  </si>
  <si>
    <t>Employer Federal Contributions on or after 7/1/2008</t>
  </si>
  <si>
    <t>Federal Salary before 7/1/2008</t>
  </si>
  <si>
    <t>Employer Federal Salary on or after 7/1/2008</t>
  </si>
  <si>
    <t>Total Federal Salary</t>
  </si>
  <si>
    <t>Member Contributions</t>
  </si>
  <si>
    <t>Total 2015</t>
  </si>
  <si>
    <t>Calculated Federal Salaries - LSDs</t>
  </si>
  <si>
    <t>Calculated Federal Salaries - Coops</t>
  </si>
  <si>
    <t>Member federal contributions - LSDs</t>
  </si>
  <si>
    <t>Member federal contributions - Coops</t>
  </si>
  <si>
    <t>Member non-federal contributions - LSDs</t>
  </si>
  <si>
    <t>Member non-federal contributions - Coops</t>
  </si>
  <si>
    <t>Sum all</t>
  </si>
  <si>
    <t xml:space="preserve">      University total</t>
  </si>
  <si>
    <t xml:space="preserve">      Non-Univ Total</t>
  </si>
  <si>
    <t>member from assets</t>
  </si>
  <si>
    <t>Sum no "other"</t>
  </si>
  <si>
    <t>Share - er EOY</t>
  </si>
  <si>
    <t>Share state EOY</t>
  </si>
  <si>
    <t>Share total EOY</t>
  </si>
  <si>
    <t>Share - er BOY</t>
  </si>
  <si>
    <t>Share state BOY</t>
  </si>
  <si>
    <t>Share total BOY</t>
  </si>
  <si>
    <t xml:space="preserve">     Other </t>
  </si>
  <si>
    <t>Total Employer Contributions (incl univ)</t>
  </si>
  <si>
    <t>allocated</t>
  </si>
  <si>
    <t xml:space="preserve">      Non-University allocated + non-allocated (incl KTRS)</t>
  </si>
  <si>
    <t>Further split for Pension Expense</t>
  </si>
  <si>
    <t>Other Employer</t>
  </si>
  <si>
    <t>University</t>
  </si>
  <si>
    <t xml:space="preserve">     State</t>
  </si>
  <si>
    <t xml:space="preserve">      Other Employer</t>
  </si>
  <si>
    <t>Non University</t>
  </si>
  <si>
    <t>For asset split tab Univ and non-univ</t>
  </si>
  <si>
    <t>Member Contributions for asset split tab</t>
  </si>
  <si>
    <t>From Assets</t>
  </si>
  <si>
    <t>Allocated Above</t>
  </si>
  <si>
    <t>Pension Expense</t>
  </si>
  <si>
    <t>Total Non-university Contributions Allocated</t>
  </si>
  <si>
    <t xml:space="preserve">    KTRS - not allocated non-univ</t>
  </si>
  <si>
    <t xml:space="preserve">Collective Amounts copied values from GASB Schedules rollforward split </t>
  </si>
  <si>
    <t>Change in Prop</t>
  </si>
  <si>
    <t>expense</t>
  </si>
  <si>
    <t>DO 2016</t>
  </si>
  <si>
    <t>DO 2015</t>
  </si>
  <si>
    <t>DO 2017</t>
  </si>
  <si>
    <t>DO 2018</t>
  </si>
  <si>
    <t>DO 2019</t>
  </si>
  <si>
    <t>DI 2015</t>
  </si>
  <si>
    <t>DI 2016</t>
  </si>
  <si>
    <t>DI 2017</t>
  </si>
  <si>
    <t>DI 2018</t>
  </si>
  <si>
    <t>DI 2019</t>
  </si>
  <si>
    <t>amortization</t>
  </si>
  <si>
    <t>Adjusted</t>
  </si>
  <si>
    <t>check</t>
  </si>
  <si>
    <t>State's Proportionate Share of Outflows/Inflows</t>
  </si>
  <si>
    <t xml:space="preserve">ADAIR COUNTY SCHOOLS  </t>
  </si>
  <si>
    <t xml:space="preserve">ALLEN COUNTY SCHOOLS  </t>
  </si>
  <si>
    <t xml:space="preserve">ANDERSON COUNTY SCHOOLS  </t>
  </si>
  <si>
    <t xml:space="preserve">BALLARD COUNTY SCHOOLS  </t>
  </si>
  <si>
    <t xml:space="preserve">BARREN COUNTY SCHOOLS  </t>
  </si>
  <si>
    <t xml:space="preserve">BATH COUNTY SCHOOLS  </t>
  </si>
  <si>
    <t xml:space="preserve">BELL COUNTY SCHOOLS  </t>
  </si>
  <si>
    <t xml:space="preserve">BOONE COUNTY SCHOOLS  </t>
  </si>
  <si>
    <t xml:space="preserve">BOURBON COUNTY SCHOOLS  </t>
  </si>
  <si>
    <t xml:space="preserve">BOYD COUNTY SCHOOLS  </t>
  </si>
  <si>
    <t xml:space="preserve">BOYLE COUNTY SCHOOLS  </t>
  </si>
  <si>
    <t xml:space="preserve">BRACKEN COUNTY SCHOOLS  </t>
  </si>
  <si>
    <t xml:space="preserve">BREATHITT COUNTY SCHOOLS  </t>
  </si>
  <si>
    <t xml:space="preserve">BRECKINRIDGE COUNTY SCHOOLS  </t>
  </si>
  <si>
    <t xml:space="preserve">BULLITT COUNTY SCHOOLS  </t>
  </si>
  <si>
    <t xml:space="preserve">BUTLER COUNTY SCHOOLS  </t>
  </si>
  <si>
    <t xml:space="preserve">CALDWELL COUNTY SCHOOLS  </t>
  </si>
  <si>
    <t xml:space="preserve">CALLOWAY COUNTY SCHOOLS  </t>
  </si>
  <si>
    <t xml:space="preserve">CAMPBELL COUNTY SCHOOLS  </t>
  </si>
  <si>
    <t xml:space="preserve">CARLISLE COUNTY SCHOOLS  </t>
  </si>
  <si>
    <t xml:space="preserve">CARROLL COUNTY SCHOOLS  </t>
  </si>
  <si>
    <t xml:space="preserve">CARTER COUNTY SCHOOLS  </t>
  </si>
  <si>
    <t xml:space="preserve">CASEY COUNTY SCHOOLS  </t>
  </si>
  <si>
    <t xml:space="preserve">CHRISTIAN COUNTY SCHOOLS  </t>
  </si>
  <si>
    <t xml:space="preserve">CLARK COUNTY SCHOOLS  </t>
  </si>
  <si>
    <t xml:space="preserve">CLAY COUNTY SCHOOLS  </t>
  </si>
  <si>
    <t xml:space="preserve">CLINTON COUNTY SCHOOLS  </t>
  </si>
  <si>
    <t xml:space="preserve">CRITTENDEN COUNTY SCHOOLS  </t>
  </si>
  <si>
    <t xml:space="preserve">CUMBERLAND COUNTY SCHOOLS  </t>
  </si>
  <si>
    <t xml:space="preserve">DAVIESS COUNTY SCHOOLS  </t>
  </si>
  <si>
    <t xml:space="preserve">EDMONSON COUNTY SCHOOLS  </t>
  </si>
  <si>
    <t xml:space="preserve">ELLIOTT COUNTY SCHOOLS  </t>
  </si>
  <si>
    <t xml:space="preserve">ESTILL COUNTY SCHOOLS  </t>
  </si>
  <si>
    <t xml:space="preserve">FAYETTE COUNTY PUBLIC SCHOOLS  </t>
  </si>
  <si>
    <t xml:space="preserve">FLEMING COUNTY SCHOOLS  </t>
  </si>
  <si>
    <t xml:space="preserve">FLOYD COUNTY SCHOOLS  </t>
  </si>
  <si>
    <t xml:space="preserve">FRANKLIN COUNTY SCHOOLS  </t>
  </si>
  <si>
    <t xml:space="preserve">FULTON COUNTY SCHOOLS  </t>
  </si>
  <si>
    <t xml:space="preserve">GALLATIN COUNTY SCHOOLS  </t>
  </si>
  <si>
    <t xml:space="preserve">GARRARD COUNTY SCHOOLS  </t>
  </si>
  <si>
    <t xml:space="preserve">GRANT COUNTY SCHOOLS  </t>
  </si>
  <si>
    <t xml:space="preserve">GRAVES COUNTY SCHOOLS  </t>
  </si>
  <si>
    <t xml:space="preserve">GRAYSON COUNTY SCHOOLS  </t>
  </si>
  <si>
    <t xml:space="preserve">GREEN COUNTY SCHOOLS  </t>
  </si>
  <si>
    <t xml:space="preserve">GREENUP COUNTY SCHOOLS  </t>
  </si>
  <si>
    <t xml:space="preserve">HANCOCK COUNTY SCHOOLS  </t>
  </si>
  <si>
    <t xml:space="preserve">HARDIN COUNTY SCHOOLS  </t>
  </si>
  <si>
    <t xml:space="preserve">HARLAN COUNTY SCHOOLS  </t>
  </si>
  <si>
    <t xml:space="preserve">HARRISON COUNTY SCHOOLS  </t>
  </si>
  <si>
    <t xml:space="preserve">HART COUNTY SCHOOLS  </t>
  </si>
  <si>
    <t xml:space="preserve">HENDERSON COUNTY SCHOOLS  </t>
  </si>
  <si>
    <t xml:space="preserve">HENRY COUNTY SCHOOLS  </t>
  </si>
  <si>
    <t xml:space="preserve">HICKMAN COUNTY SCHOOLS  </t>
  </si>
  <si>
    <t xml:space="preserve">HOPKINS COUNTY SCHOOLS  </t>
  </si>
  <si>
    <t xml:space="preserve">JACKSON COUNTY SCHOOLS  </t>
  </si>
  <si>
    <t xml:space="preserve">JEFFERSON COUNTY SCHOOLS  </t>
  </si>
  <si>
    <t xml:space="preserve">JESSAMINE COUNTY SCHOOLS  </t>
  </si>
  <si>
    <t xml:space="preserve">JOHNSON COUNTY SCHOOLS  </t>
  </si>
  <si>
    <t xml:space="preserve">KENTON COUNTY SCHOOLS  </t>
  </si>
  <si>
    <t xml:space="preserve">KNOTT COUNTY SCHOOLS  </t>
  </si>
  <si>
    <t xml:space="preserve">KNOX COUNTY SCHOOLS  </t>
  </si>
  <si>
    <t xml:space="preserve">LARUE COUNTY SCHOOLS  </t>
  </si>
  <si>
    <t xml:space="preserve">LAUREL COUNTY SCHOOLS  </t>
  </si>
  <si>
    <t xml:space="preserve">LAWRENCE COUNTY SCHOOLS  </t>
  </si>
  <si>
    <t xml:space="preserve">LEE COUNTY SCHOOLS  </t>
  </si>
  <si>
    <t xml:space="preserve">LESLIE COUNTY SCHOOLS  </t>
  </si>
  <si>
    <t xml:space="preserve">LETCHER COUNTY SCHOOLS  </t>
  </si>
  <si>
    <t xml:space="preserve">LEWIS COUNTY SCHOOLS  </t>
  </si>
  <si>
    <t xml:space="preserve">LINCOLN COUNTY SCHOOLS  </t>
  </si>
  <si>
    <t xml:space="preserve">LIVINGSTON COUNTY SCHOOLS  </t>
  </si>
  <si>
    <t xml:space="preserve">LOGAN COUNTY SCHOOLS  </t>
  </si>
  <si>
    <t xml:space="preserve">LYON COUNTY SCHOOLS  </t>
  </si>
  <si>
    <t xml:space="preserve">MADISON COUNTY SCHOOLS  </t>
  </si>
  <si>
    <t xml:space="preserve">MAGOFFIN COUNTY SCHOOLS  </t>
  </si>
  <si>
    <t xml:space="preserve">MARION COUNTY SCHOOLS  </t>
  </si>
  <si>
    <t xml:space="preserve">MARSHALL COUNTY SCHOOLS  </t>
  </si>
  <si>
    <t xml:space="preserve">MARTIN COUNTY SCHOOLS  </t>
  </si>
  <si>
    <t xml:space="preserve">MASON COUNTY SCHOOLS  </t>
  </si>
  <si>
    <t xml:space="preserve">MCCRACKEN COUNTY SCHOOLS  </t>
  </si>
  <si>
    <t xml:space="preserve">MCCREARY COUNTY SCHOOLS  </t>
  </si>
  <si>
    <t xml:space="preserve">MCLEAN COUNTY SCHOOLS  </t>
  </si>
  <si>
    <t xml:space="preserve">MEADE COUNTY SCHOOLS  </t>
  </si>
  <si>
    <t xml:space="preserve">MENIFEE COUNTY SCHOOLS  </t>
  </si>
  <si>
    <t xml:space="preserve">MERCER COUNTY SCHOOLS  </t>
  </si>
  <si>
    <t xml:space="preserve">METCALFE COUNTY SCHOOLS  </t>
  </si>
  <si>
    <t xml:space="preserve">MONROE COUNTY SCHOOLS  </t>
  </si>
  <si>
    <t xml:space="preserve">MONTGOMERY COUNTY SCHOOLS  </t>
  </si>
  <si>
    <t xml:space="preserve">MORGAN COUNTY SCHOOLS  </t>
  </si>
  <si>
    <t xml:space="preserve">MUHLENBERG COUNTY SCHOOLS  </t>
  </si>
  <si>
    <t xml:space="preserve">NELSON COUNTY SCHOOLS  </t>
  </si>
  <si>
    <t xml:space="preserve">NICHOLAS COUNTY SCHOOLS  </t>
  </si>
  <si>
    <t xml:space="preserve">OHIO COUNTY SCHOOLS  </t>
  </si>
  <si>
    <t xml:space="preserve">OLDHAM COUNTY SCHOOLS  </t>
  </si>
  <si>
    <t xml:space="preserve">OWEN COUNTY SCHOOLS  </t>
  </si>
  <si>
    <t xml:space="preserve">OWSLEY COUNTY SCHOOLS  </t>
  </si>
  <si>
    <t xml:space="preserve">PENDLETON COUNTY SCHOOLS  </t>
  </si>
  <si>
    <t xml:space="preserve">PERRY COUNTY SCHOOLS  </t>
  </si>
  <si>
    <t xml:space="preserve">PIKE COUNTY SCHOOLS  </t>
  </si>
  <si>
    <t xml:space="preserve">POWELL COUNTY SCHOOLS  </t>
  </si>
  <si>
    <t xml:space="preserve">PULASKI COUNTY SCHOOLS  </t>
  </si>
  <si>
    <t xml:space="preserve">ROBERTSON COUNTY SCHOOLS  </t>
  </si>
  <si>
    <t xml:space="preserve">ROCKCASTLE COUNTY SCHOOLS  </t>
  </si>
  <si>
    <t xml:space="preserve">ROWAN COUNTY SCHOOLS  </t>
  </si>
  <si>
    <t xml:space="preserve">RUSSELL COUNTY SCHOOLS  </t>
  </si>
  <si>
    <t xml:space="preserve">SCOTT COUNTY SCHOOLS  </t>
  </si>
  <si>
    <t xml:space="preserve">SHELBY COUNTY SCHOOLS  </t>
  </si>
  <si>
    <t xml:space="preserve">SIMPSON COUNTY SCHOOLS  </t>
  </si>
  <si>
    <t xml:space="preserve">SPENCER COUNTY SCHOOLS  </t>
  </si>
  <si>
    <t xml:space="preserve">TAYLOR COUNTY SCHOOLS  </t>
  </si>
  <si>
    <t xml:space="preserve">TODD COUNTY SCHOOLS  </t>
  </si>
  <si>
    <t xml:space="preserve">TRIGG COUNTY SCHOOLS  </t>
  </si>
  <si>
    <t xml:space="preserve">TRIMBLE COUNTY SCHOOLS  </t>
  </si>
  <si>
    <t xml:space="preserve">UNION COUNTY SCHOOLS  </t>
  </si>
  <si>
    <t xml:space="preserve">WARREN COUNTY SCHOOLS  </t>
  </si>
  <si>
    <t xml:space="preserve">WASHINGTON COUNTY SCHOOLS  </t>
  </si>
  <si>
    <t xml:space="preserve">WAYNE COUNTY SCHOOLS  </t>
  </si>
  <si>
    <t xml:space="preserve">WEBSTER COUNTY SCHOOLS  </t>
  </si>
  <si>
    <t xml:space="preserve">WHITLEY COUNTY SCHOOLS  </t>
  </si>
  <si>
    <t xml:space="preserve">WOLFE COUNTY SCHOOLS  </t>
  </si>
  <si>
    <t xml:space="preserve">WOODFORD COUNTY SCHOOLS  </t>
  </si>
  <si>
    <t xml:space="preserve">ANCHORAGE CITY SCHOOLS  </t>
  </si>
  <si>
    <t xml:space="preserve">ASHLAND CITY SCHOOLS  </t>
  </si>
  <si>
    <t xml:space="preserve">AUGUSTA CITY SCHOOLS  </t>
  </si>
  <si>
    <t xml:space="preserve">BARBOURVILLE CITY SCHOOLS  </t>
  </si>
  <si>
    <t xml:space="preserve">BARDSTOWN CITY SCHOOLS  </t>
  </si>
  <si>
    <t xml:space="preserve">BEECHWOOD INDEPENDENT SCHOOLS  </t>
  </si>
  <si>
    <t xml:space="preserve">BELLEVUE CITY SCHOOLS  </t>
  </si>
  <si>
    <t xml:space="preserve">BEREA CITY SCHOOLS  </t>
  </si>
  <si>
    <t xml:space="preserve">BOWLING GREEN CITY SCHOOLS  </t>
  </si>
  <si>
    <t xml:space="preserve">BURGIN CITY SCHOOLS  </t>
  </si>
  <si>
    <t xml:space="preserve">CAMPBELLSVILLE CITY SCHOOLS  </t>
  </si>
  <si>
    <t xml:space="preserve">CAVERNA CITY SCHOOLS  </t>
  </si>
  <si>
    <t xml:space="preserve">CLOVERPORT CITY SCHOOLS  </t>
  </si>
  <si>
    <t xml:space="preserve">CORBIN CITY SCHOOLS  </t>
  </si>
  <si>
    <t xml:space="preserve">COVINGTON CITY SCHOOLS  </t>
  </si>
  <si>
    <t xml:space="preserve">DANVILLE CITY SCHOOLS  </t>
  </si>
  <si>
    <t xml:space="preserve">DAWSON SPRINGS CITY SCHOOLS  </t>
  </si>
  <si>
    <t xml:space="preserve">DAYTON CITY SCHOOLS  </t>
  </si>
  <si>
    <t xml:space="preserve">EAST BERNSTADT CITY SCHOOLS  </t>
  </si>
  <si>
    <t xml:space="preserve">ELIZABETHTOWN CITY SCHOOLS  </t>
  </si>
  <si>
    <t xml:space="preserve">EMINENCE INDEPENDENT SCHOOLS  </t>
  </si>
  <si>
    <t xml:space="preserve">ERLANGER-ELSMERE CITY SCHOOLS  </t>
  </si>
  <si>
    <t xml:space="preserve">FAIRVIEW INDEPENDENT SCHOOLS  </t>
  </si>
  <si>
    <t xml:space="preserve">FT THOMAS INDEPENDENT SCHOOLS  </t>
  </si>
  <si>
    <t xml:space="preserve">FRANKFORT CITY SCHOOLS  </t>
  </si>
  <si>
    <t xml:space="preserve">FULTON CITY SCHOOLS  </t>
  </si>
  <si>
    <t xml:space="preserve">GLASGOW CITY SCHOOLS  </t>
  </si>
  <si>
    <t xml:space="preserve">HARLAN CITY SCHOOLS  </t>
  </si>
  <si>
    <t xml:space="preserve">HAZARD INDEPENDENT SCHOOLS  </t>
  </si>
  <si>
    <t xml:space="preserve">JACKSON CITY SCHOOLS  </t>
  </si>
  <si>
    <t xml:space="preserve">JENKINS CITY SCHOOLS  </t>
  </si>
  <si>
    <t xml:space="preserve">LUDLOW CITY SCHOOLS  </t>
  </si>
  <si>
    <t xml:space="preserve">MAYFIELD CITY SCHOOLS  </t>
  </si>
  <si>
    <t xml:space="preserve">MIDDLESBORO CITY SCHOOLS  </t>
  </si>
  <si>
    <t xml:space="preserve">MURRAY CITY SCHOOLS  </t>
  </si>
  <si>
    <t xml:space="preserve">NEWPORT CITY SCHOOLS  </t>
  </si>
  <si>
    <t xml:space="preserve">OWENSBORO CITY SCHOOLS  </t>
  </si>
  <si>
    <t xml:space="preserve">PADUCAH CITY SCHOOLS  </t>
  </si>
  <si>
    <t xml:space="preserve">PAINTSVILLE CITY SCHOOLS  </t>
  </si>
  <si>
    <t xml:space="preserve">PARIS CITY SCHOOLS  </t>
  </si>
  <si>
    <t xml:space="preserve">PIKEVILLE CITY SCHOOLS  </t>
  </si>
  <si>
    <t xml:space="preserve">PINEVILLE CITY SCHOOLS  </t>
  </si>
  <si>
    <t xml:space="preserve">RACELAND CITY SCHOOLS  </t>
  </si>
  <si>
    <t xml:space="preserve">RUSSELL CITY SCHOOLS  </t>
  </si>
  <si>
    <t xml:space="preserve">RUSSELLVILLE CITY SCHOOLS  </t>
  </si>
  <si>
    <t xml:space="preserve">SCIENCE HILL CITY SCHOOLS  </t>
  </si>
  <si>
    <t xml:space="preserve">SILVER GROVE CITY SCHOOLS  </t>
  </si>
  <si>
    <t xml:space="preserve">SOMERSET CITY SCHOOLS  </t>
  </si>
  <si>
    <t xml:space="preserve">SOUTHGATE CITY SCHOOLS  </t>
  </si>
  <si>
    <t xml:space="preserve">WALTON-VERONA INDEPENDENT SCHOOLS  </t>
  </si>
  <si>
    <t xml:space="preserve">WEST POINT CITY SCHOOLS  </t>
  </si>
  <si>
    <t xml:space="preserve">WILLIAMSBURG CITY SCHOOLS  </t>
  </si>
  <si>
    <t xml:space="preserve">WILLIAMSTOWN CITY SCHOOLS  </t>
  </si>
  <si>
    <t xml:space="preserve">EASTERN KENTUCKY UNIVERSITY  </t>
  </si>
  <si>
    <t xml:space="preserve">KENTUCKY STATE UNIVERSITY  </t>
  </si>
  <si>
    <t xml:space="preserve">MOREHEAD STATE UNIVERSITY  </t>
  </si>
  <si>
    <t xml:space="preserve">MURRAY STATE UNIVERSITY  </t>
  </si>
  <si>
    <t xml:space="preserve">WESTERN KENTUCKY UNIVERSITY  </t>
  </si>
  <si>
    <t xml:space="preserve">MADISONVILLE ABO  </t>
  </si>
  <si>
    <t xml:space="preserve">BOWLING GREEN ABO  </t>
  </si>
  <si>
    <t xml:space="preserve">ELIZABETHTOWN ABO  </t>
  </si>
  <si>
    <t xml:space="preserve">FRANKFORT ABO  </t>
  </si>
  <si>
    <t xml:space="preserve">HAZARD ABO  </t>
  </si>
  <si>
    <t xml:space="preserve">ADULT COUNCIL ON POST SEC EDUC  </t>
  </si>
  <si>
    <t xml:space="preserve">DEPT FOR TECHNICAL EDUC  </t>
  </si>
  <si>
    <t xml:space="preserve">OFFICE OF SEC OF WORK FORCE DEV  </t>
  </si>
  <si>
    <t xml:space="preserve">DEPT FOR VOCATIONAL REHAB  </t>
  </si>
  <si>
    <t xml:space="preserve">KENTUCKY SCHOOL FOR THE BLIND  </t>
  </si>
  <si>
    <t xml:space="preserve">KENTUCKY SCHOOL FOR THE DEAF  </t>
  </si>
  <si>
    <t xml:space="preserve">EDUCATION ADMINISTRATION  </t>
  </si>
  <si>
    <t xml:space="preserve">KCTCS CENTRAL OFFICE  </t>
  </si>
  <si>
    <t xml:space="preserve">TEACHERS' RETIREMENT SYSTEM  </t>
  </si>
  <si>
    <t xml:space="preserve">DEPARTMENT OF CORRECTIONS  </t>
  </si>
  <si>
    <t xml:space="preserve">KY HIGH SCHOOL ATHLETIC ASSN  </t>
  </si>
  <si>
    <t xml:space="preserve">KENTUCKY SCHOOL BOARDS ASSN  </t>
  </si>
  <si>
    <t xml:space="preserve">KEA  </t>
  </si>
  <si>
    <t xml:space="preserve">ACADEMIC ASSOCIATION  </t>
  </si>
  <si>
    <t xml:space="preserve">JEFFERSON CO TEACHERS ASSOC  </t>
  </si>
  <si>
    <t xml:space="preserve">OHIO VALLEY EDUC COOPERATIVE  </t>
  </si>
  <si>
    <t xml:space="preserve">WEST KENTUCKY EDUC COOPERATIVE  </t>
  </si>
  <si>
    <t xml:space="preserve">Southeast South-Central Educational Cooperative  </t>
  </si>
  <si>
    <t xml:space="preserve">GREEN RIVER REGIONAL EDUC COOP  </t>
  </si>
  <si>
    <t xml:space="preserve">CENTRAL KY SPECIAL EDUC COOP  </t>
  </si>
  <si>
    <t xml:space="preserve">KENTUCKY VALLEY EDUC COOPERATIVE  </t>
  </si>
  <si>
    <t xml:space="preserve">KENTUCKY EDUC DEVELOPMENT CORP  </t>
  </si>
  <si>
    <t xml:space="preserve">N KY COOP FOR EDUC SERVICES  </t>
  </si>
  <si>
    <t xml:space="preserve">EDUC PROFESSIONAL STANDARDS BD  </t>
  </si>
  <si>
    <t>Matching Required from SEEK - changed formula</t>
  </si>
  <si>
    <t>4405-14</t>
  </si>
  <si>
    <t>4480-14</t>
  </si>
  <si>
    <t>General Ledger Balance</t>
  </si>
  <si>
    <t>0</t>
  </si>
  <si>
    <t>4010-12</t>
  </si>
  <si>
    <t>4020-16</t>
  </si>
  <si>
    <t>2016 Employer</t>
  </si>
  <si>
    <t>matches 2016 - BP</t>
  </si>
  <si>
    <t xml:space="preserve">      University allocated + non-allocated from 2016 prop</t>
  </si>
  <si>
    <t>I think this may have been done wrong last year??</t>
  </si>
  <si>
    <t xml:space="preserve"> pension only</t>
  </si>
  <si>
    <t>allocate diff (svc purchase)</t>
  </si>
  <si>
    <t>Net Pension Liability as of June 30, 2016</t>
  </si>
  <si>
    <t>2016 DI</t>
  </si>
  <si>
    <t>Change in Proportion Year 1 - increases</t>
  </si>
  <si>
    <t>Change in Proportion Year 1 - decreases</t>
  </si>
  <si>
    <t>Change in Proportion Year 2 - increases</t>
  </si>
  <si>
    <t>changed rounding last year</t>
  </si>
  <si>
    <t>Change in Proportion Year 2 - decreases</t>
  </si>
  <si>
    <t>DO 2020</t>
  </si>
  <si>
    <t>DI 2020</t>
  </si>
  <si>
    <t>Employer UCF - Other</t>
  </si>
  <si>
    <t>Pathway Totals 8/17/2017</t>
  </si>
  <si>
    <t>TRS Salary Earned</t>
  </si>
  <si>
    <t>Total Employer Federal Contributions</t>
  </si>
  <si>
    <t>4415-14</t>
  </si>
  <si>
    <t>4770-14</t>
  </si>
  <si>
    <t>4900-21</t>
  </si>
  <si>
    <t>MEDICAL- Employer contributions used in Proportionate Share Calculation</t>
  </si>
  <si>
    <t>MEDICAL - % of Employer Contributions</t>
  </si>
  <si>
    <t>LIFE - Employer contributions used in Proportionate Share Calculation</t>
  </si>
  <si>
    <t>LIFE - % of Employer Contributions</t>
  </si>
  <si>
    <t>2017 Employer</t>
  </si>
  <si>
    <t>As of the Measurement Date of June 30, 2017</t>
  </si>
  <si>
    <t>"other"  - balancing item (this is the non-single subsidy pay back)</t>
  </si>
  <si>
    <t>surv, handicap child etc - left off prior svc LY - not sure why)</t>
  </si>
  <si>
    <t>surv, handicap child and prior svc</t>
  </si>
  <si>
    <t>matches 2017 - prop share</t>
  </si>
  <si>
    <t>total req incr paid this yr</t>
  </si>
  <si>
    <t>all of the props changed due to the "special funding" from the state paying the ARC</t>
  </si>
  <si>
    <t>2016 NPL</t>
  </si>
  <si>
    <t>2016 DO</t>
  </si>
  <si>
    <t>Net Pension Liability as of June 30, 2017</t>
  </si>
  <si>
    <t>Change in Proportion Current Year - increases</t>
  </si>
  <si>
    <t>Change in Proportion Current Year - decreases</t>
  </si>
  <si>
    <t>As of June 30, 2016</t>
  </si>
  <si>
    <t>2017 NPL</t>
  </si>
  <si>
    <t>DO 2021</t>
  </si>
  <si>
    <t>Total Non-University Employers - State Agencies</t>
  </si>
  <si>
    <t>Total Non-University Employers - Local Districts and Educational Cooperatives</t>
  </si>
  <si>
    <t>Total Non-University Employers</t>
  </si>
  <si>
    <t>Total - Local School Districts and Educational Cooperatives</t>
  </si>
  <si>
    <t xml:space="preserve">Total University Employers </t>
  </si>
  <si>
    <t xml:space="preserve">Total Non-University Employers - Other </t>
  </si>
  <si>
    <t>Total University and Non-University Employers</t>
  </si>
  <si>
    <t xml:space="preserve">Plus 1% </t>
  </si>
  <si>
    <t xml:space="preserve">Less 1% </t>
  </si>
  <si>
    <t xml:space="preserve">NPL Sensitivity </t>
  </si>
  <si>
    <t>Non-University Employers - Other</t>
  </si>
  <si>
    <t>Non-University Employers - State Agencies</t>
  </si>
  <si>
    <t>Total - Non-University Employers - Other</t>
  </si>
  <si>
    <t>Total - Non-University Employers - State Agencies</t>
  </si>
  <si>
    <t>7.5% Discount Rate</t>
  </si>
  <si>
    <t>Year 1</t>
  </si>
  <si>
    <t>Year 2</t>
  </si>
  <si>
    <t>Year 3</t>
  </si>
  <si>
    <t>Year 4</t>
  </si>
  <si>
    <t>Year 5</t>
  </si>
  <si>
    <t>Knott County Schools</t>
  </si>
  <si>
    <t>As of the Measurement Date of June 30, 2020</t>
  </si>
  <si>
    <t>As of and for the fiscal year ended 6/30/2020</t>
  </si>
  <si>
    <t>Adult Education - Workforce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</si>
</sst>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;\(#,##0.00\)"/>
    <numFmt numFmtId="165" formatCode="0.000%"/>
    <numFmt numFmtId="166" formatCode="_(* #,##0.000000_);_(* \(#,##0.000000\);_(* &quot;-&quot;??_);_(@_)"/>
    <numFmt numFmtId="167" formatCode="_(* #,##0_);_(* \(#,##0\);_(* &quot;-&quot;??_);_(@_)"/>
    <numFmt numFmtId="168" formatCode="0.00000"/>
    <numFmt numFmtId="169" formatCode="_(&quot;$&quot;* #,##0_);_(&quot;$&quot;* \(#,##0\);_(&quot;$&quot;* &quot;-&quot;??_);_(@_)"/>
    <numFmt numFmtId="170" formatCode="0.0000%"/>
    <numFmt numFmtId="171" formatCode="0.000000"/>
    <numFmt numFmtId="172" formatCode="0.000000000"/>
    <numFmt numFmtId="173" formatCode="0.00000000"/>
    <numFmt numFmtId="174" formatCode="[$-409]mmmm\ d\,\ yyyy;@"/>
    <numFmt numFmtId="175" formatCode="_(* #,##0.00000_);_(* \(#,##0.00000\);_(* &quot;-&quot;??_);_(@_)"/>
    <numFmt numFmtId="176" formatCode="_(* #,##0.0_);_(* \(#,##0.0\);_(* &quot;-&quot;??_);_(@_)"/>
    <numFmt numFmtId="177" formatCode="0.0000000"/>
  </numFmts>
  <fonts count="46" x14ac:knownFonts="1">
    <font>
      <sz val="10"/>
      <name val="Arial"/>
    </font>
    <font>
      <sz val="10"/>
      <name val="Arial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u val="singleAccounting"/>
      <sz val="11"/>
      <color theme="1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u val="doubleAccounting"/>
      <sz val="11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rgb="FFFF0000"/>
      <name val="Times New Roman"/>
      <family val="1"/>
    </font>
    <font>
      <sz val="9"/>
      <name val="Times New Roman"/>
      <family val="1"/>
    </font>
    <font>
      <b/>
      <i/>
      <u val="singleAccounting"/>
      <sz val="9"/>
      <name val="Times New Roman"/>
      <family val="1"/>
    </font>
    <font>
      <sz val="9"/>
      <color theme="1"/>
      <name val="Times New Roman"/>
      <family val="1"/>
    </font>
    <font>
      <u val="singleAccounting"/>
      <sz val="9"/>
      <name val="Times New Roman"/>
      <family val="1"/>
    </font>
    <font>
      <u/>
      <sz val="9"/>
      <name val="Times New Roman"/>
      <family val="1"/>
    </font>
    <font>
      <b/>
      <i/>
      <sz val="9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u val="singleAccounting"/>
      <sz val="8"/>
      <color theme="1"/>
      <name val="Times New Roman"/>
      <family val="1"/>
    </font>
    <font>
      <u/>
      <sz val="8"/>
      <color theme="1"/>
      <name val="Times New Roman"/>
      <family val="1"/>
    </font>
    <font>
      <u val="double"/>
      <sz val="8"/>
      <color theme="1"/>
      <name val="Times New Roman"/>
      <family val="1"/>
    </font>
    <font>
      <u val="doubleAccounting"/>
      <sz val="8"/>
      <color theme="1"/>
      <name val="Times New Roman"/>
      <family val="1"/>
    </font>
    <font>
      <b/>
      <sz val="9"/>
      <name val="Times New Roman"/>
      <family val="1"/>
    </font>
    <font>
      <b/>
      <i/>
      <u val="singleAccounting"/>
      <sz val="9"/>
      <color theme="1"/>
      <name val="Times New Roman"/>
      <family val="1"/>
    </font>
    <font>
      <u val="singleAccounting"/>
      <sz val="9"/>
      <color theme="1"/>
      <name val="Times New Roman"/>
      <family val="1"/>
    </font>
    <font>
      <b/>
      <u val="singleAccounting"/>
      <sz val="9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 val="singleAccounting"/>
      <sz val="8"/>
      <color theme="1"/>
      <name val="Times New Roman"/>
      <family val="1"/>
    </font>
    <font>
      <b/>
      <u/>
      <sz val="8"/>
      <color theme="1"/>
      <name val="Times New Roman"/>
      <family val="1"/>
    </font>
    <font>
      <b/>
      <u/>
      <sz val="9"/>
      <name val="Times New Roman"/>
      <family val="1"/>
    </font>
    <font>
      <b/>
      <u val="singleAccounting"/>
      <sz val="9"/>
      <color theme="1"/>
      <name val="Times New Roman"/>
      <family val="1"/>
    </font>
    <font>
      <u val="doubleAccounting"/>
      <sz val="9"/>
      <name val="Times New Roman"/>
      <family val="1"/>
    </font>
    <font>
      <u val="doubleAccounting"/>
      <sz val="8"/>
      <name val="Times New Roman"/>
      <family val="1"/>
    </font>
    <font>
      <u val="singleAccounting"/>
      <sz val="8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FE7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/>
    <xf numFmtId="0" fontId="1" fillId="0" borderId="0"/>
  </cellStyleXfs>
  <cellXfs count="380">
    <xf numFmtId="0" fontId="0" fillId="0" borderId="0" xfId="0"/>
    <xf numFmtId="0" fontId="2" fillId="3" borderId="0" xfId="0" applyFont="1" applyFill="1"/>
    <xf numFmtId="0" fontId="2" fillId="4" borderId="0" xfId="0" applyFont="1" applyFill="1"/>
    <xf numFmtId="0" fontId="2" fillId="6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168" fontId="7" fillId="0" borderId="0" xfId="0" applyNumberFormat="1" applyFont="1"/>
    <xf numFmtId="167" fontId="5" fillId="0" borderId="0" xfId="1" applyNumberFormat="1" applyFont="1"/>
    <xf numFmtId="10" fontId="5" fillId="0" borderId="0" xfId="0" applyNumberFormat="1" applyFont="1" applyAlignment="1">
      <alignment horizontal="center"/>
    </xf>
    <xf numFmtId="43" fontId="5" fillId="0" borderId="0" xfId="0" applyNumberFormat="1" applyFont="1"/>
    <xf numFmtId="43" fontId="5" fillId="0" borderId="0" xfId="1" applyFont="1"/>
    <xf numFmtId="44" fontId="5" fillId="0" borderId="0" xfId="0" applyNumberFormat="1" applyFont="1"/>
    <xf numFmtId="44" fontId="11" fillId="0" borderId="0" xfId="0" applyNumberFormat="1" applyFont="1"/>
    <xf numFmtId="44" fontId="5" fillId="0" borderId="0" xfId="0" applyNumberFormat="1" applyFont="1" applyAlignment="1">
      <alignment horizontal="center"/>
    </xf>
    <xf numFmtId="44" fontId="5" fillId="0" borderId="0" xfId="0" applyNumberFormat="1" applyFont="1" applyAlignment="1"/>
    <xf numFmtId="169" fontId="5" fillId="0" borderId="0" xfId="0" applyNumberFormat="1" applyFont="1"/>
    <xf numFmtId="167" fontId="6" fillId="0" borderId="0" xfId="1" applyNumberFormat="1" applyFont="1"/>
    <xf numFmtId="169" fontId="5" fillId="0" borderId="0" xfId="5" applyNumberFormat="1" applyFont="1"/>
    <xf numFmtId="44" fontId="5" fillId="0" borderId="0" xfId="0" applyNumberFormat="1" applyFont="1" applyAlignment="1">
      <alignment horizontal="left" indent="1"/>
    </xf>
    <xf numFmtId="44" fontId="5" fillId="0" borderId="0" xfId="0" applyNumberFormat="1" applyFont="1" applyAlignment="1">
      <alignment horizontal="left"/>
    </xf>
    <xf numFmtId="169" fontId="12" fillId="0" borderId="0" xfId="5" applyNumberFormat="1" applyFont="1"/>
    <xf numFmtId="170" fontId="5" fillId="0" borderId="0" xfId="2" applyNumberFormat="1" applyFont="1"/>
    <xf numFmtId="170" fontId="5" fillId="0" borderId="4" xfId="2" applyNumberFormat="1" applyFont="1" applyBorder="1"/>
    <xf numFmtId="170" fontId="5" fillId="0" borderId="0" xfId="0" applyNumberFormat="1" applyFont="1"/>
    <xf numFmtId="170" fontId="5" fillId="0" borderId="5" xfId="0" applyNumberFormat="1" applyFont="1" applyBorder="1"/>
    <xf numFmtId="44" fontId="5" fillId="0" borderId="0" xfId="0" applyNumberFormat="1" applyFont="1" applyAlignment="1">
      <alignment horizontal="left" indent="2"/>
    </xf>
    <xf numFmtId="170" fontId="13" fillId="0" borderId="0" xfId="2" applyNumberFormat="1" applyFont="1"/>
    <xf numFmtId="170" fontId="13" fillId="0" borderId="0" xfId="0" applyNumberFormat="1" applyFont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171" fontId="5" fillId="0" borderId="0" xfId="0" applyNumberFormat="1" applyFont="1"/>
    <xf numFmtId="167" fontId="5" fillId="0" borderId="0" xfId="0" applyNumberFormat="1" applyFont="1"/>
    <xf numFmtId="172" fontId="5" fillId="0" borderId="0" xfId="0" applyNumberFormat="1" applyFont="1"/>
    <xf numFmtId="0" fontId="2" fillId="0" borderId="0" xfId="0" applyFont="1" applyFill="1"/>
    <xf numFmtId="167" fontId="13" fillId="0" borderId="0" xfId="1" applyNumberFormat="1" applyFont="1"/>
    <xf numFmtId="167" fontId="13" fillId="0" borderId="0" xfId="0" applyNumberFormat="1" applyFont="1"/>
    <xf numFmtId="167" fontId="6" fillId="0" borderId="0" xfId="0" applyNumberFormat="1" applyFont="1"/>
    <xf numFmtId="173" fontId="5" fillId="0" borderId="0" xfId="0" applyNumberFormat="1" applyFont="1"/>
    <xf numFmtId="0" fontId="5" fillId="6" borderId="0" xfId="0" applyFont="1" applyFill="1"/>
    <xf numFmtId="10" fontId="5" fillId="6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2" fillId="8" borderId="0" xfId="0" applyFont="1" applyFill="1"/>
    <xf numFmtId="167" fontId="5" fillId="0" borderId="0" xfId="1" applyNumberFormat="1" applyFont="1" applyFill="1"/>
    <xf numFmtId="0" fontId="5" fillId="0" borderId="0" xfId="0" applyFont="1" applyFill="1"/>
    <xf numFmtId="0" fontId="5" fillId="0" borderId="0" xfId="0" applyFont="1" applyAlignment="1">
      <alignment horizontal="center"/>
    </xf>
    <xf numFmtId="44" fontId="6" fillId="0" borderId="0" xfId="0" applyNumberFormat="1" applyFont="1"/>
    <xf numFmtId="170" fontId="6" fillId="0" borderId="0" xfId="2" applyNumberFormat="1" applyFont="1"/>
    <xf numFmtId="170" fontId="6" fillId="0" borderId="0" xfId="0" applyNumberFormat="1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4" fontId="5" fillId="0" borderId="0" xfId="0" applyNumberFormat="1" applyFont="1" applyAlignment="1">
      <alignment horizontal="center"/>
    </xf>
    <xf numFmtId="43" fontId="5" fillId="0" borderId="0" xfId="6" applyFont="1"/>
    <xf numFmtId="43" fontId="8" fillId="0" borderId="1" xfId="6" applyFont="1" applyBorder="1" applyAlignment="1" applyProtection="1">
      <alignment horizontal="center" vertical="top" wrapText="1" readingOrder="1"/>
      <protection locked="0"/>
    </xf>
    <xf numFmtId="43" fontId="9" fillId="0" borderId="1" xfId="6" applyFont="1" applyBorder="1" applyAlignment="1" applyProtection="1">
      <alignment horizontal="center" vertical="top" wrapText="1" readingOrder="1"/>
      <protection locked="0"/>
    </xf>
    <xf numFmtId="43" fontId="4" fillId="0" borderId="3" xfId="6" applyFont="1" applyBorder="1" applyAlignment="1"/>
    <xf numFmtId="43" fontId="6" fillId="3" borderId="0" xfId="6" applyFont="1" applyFill="1" applyAlignment="1">
      <alignment horizontal="center" wrapText="1"/>
    </xf>
    <xf numFmtId="43" fontId="2" fillId="0" borderId="0" xfId="6" applyFont="1" applyAlignment="1">
      <alignment horizontal="center" vertical="center"/>
    </xf>
    <xf numFmtId="43" fontId="2" fillId="0" borderId="0" xfId="6" applyFont="1" applyAlignment="1">
      <alignment horizontal="center" vertical="center" wrapText="1"/>
    </xf>
    <xf numFmtId="43" fontId="5" fillId="0" borderId="0" xfId="6" applyFont="1" applyAlignment="1">
      <alignment horizontal="center"/>
    </xf>
    <xf numFmtId="166" fontId="5" fillId="3" borderId="0" xfId="6" applyNumberFormat="1" applyFont="1" applyFill="1"/>
    <xf numFmtId="43" fontId="5" fillId="3" borderId="0" xfId="6" applyFont="1" applyFill="1"/>
    <xf numFmtId="43" fontId="5" fillId="0" borderId="0" xfId="6" applyFont="1" applyAlignment="1">
      <alignment wrapText="1"/>
    </xf>
    <xf numFmtId="43" fontId="5" fillId="0" borderId="0" xfId="6" applyFont="1" applyAlignment="1">
      <alignment horizontal="center" wrapText="1"/>
    </xf>
    <xf numFmtId="43" fontId="2" fillId="0" borderId="0" xfId="6" applyFont="1"/>
    <xf numFmtId="43" fontId="2" fillId="3" borderId="0" xfId="6" applyFont="1" applyFill="1"/>
    <xf numFmtId="43" fontId="5" fillId="0" borderId="0" xfId="6" quotePrefix="1" applyFont="1"/>
    <xf numFmtId="0" fontId="2" fillId="2" borderId="0" xfId="8" applyFont="1" applyFill="1" applyAlignment="1"/>
    <xf numFmtId="43" fontId="5" fillId="4" borderId="0" xfId="6" applyFont="1" applyFill="1"/>
    <xf numFmtId="0" fontId="2" fillId="3" borderId="0" xfId="8" applyFont="1" applyFill="1" applyAlignment="1"/>
    <xf numFmtId="0" fontId="2" fillId="4" borderId="0" xfId="8" applyFont="1" applyFill="1" applyAlignment="1"/>
    <xf numFmtId="0" fontId="2" fillId="7" borderId="0" xfId="8" applyFont="1" applyFill="1" applyAlignment="1"/>
    <xf numFmtId="0" fontId="2" fillId="5" borderId="0" xfId="8" applyFont="1" applyFill="1" applyAlignment="1"/>
    <xf numFmtId="43" fontId="2" fillId="6" borderId="0" xfId="6" applyFont="1" applyFill="1"/>
    <xf numFmtId="165" fontId="5" fillId="0" borderId="0" xfId="10" applyNumberFormat="1" applyFont="1" applyAlignment="1"/>
    <xf numFmtId="43" fontId="5" fillId="2" borderId="0" xfId="6" applyFont="1" applyFill="1"/>
    <xf numFmtId="175" fontId="5" fillId="2" borderId="0" xfId="6" applyNumberFormat="1" applyFont="1" applyFill="1"/>
    <xf numFmtId="43" fontId="6" fillId="2" borderId="0" xfId="6" applyFont="1" applyFill="1"/>
    <xf numFmtId="175" fontId="5" fillId="4" borderId="0" xfId="6" applyNumberFormat="1" applyFont="1" applyFill="1"/>
    <xf numFmtId="175" fontId="5" fillId="3" borderId="0" xfId="6" applyNumberFormat="1" applyFont="1" applyFill="1"/>
    <xf numFmtId="43" fontId="5" fillId="5" borderId="0" xfId="6" applyFont="1" applyFill="1"/>
    <xf numFmtId="175" fontId="5" fillId="5" borderId="0" xfId="6" applyNumberFormat="1" applyFont="1" applyFill="1"/>
    <xf numFmtId="167" fontId="5" fillId="0" borderId="0" xfId="2" applyNumberFormat="1" applyFont="1"/>
    <xf numFmtId="167" fontId="5" fillId="3" borderId="0" xfId="6" quotePrefix="1" applyNumberFormat="1" applyFont="1" applyFill="1"/>
    <xf numFmtId="43" fontId="2" fillId="2" borderId="0" xfId="0" applyNumberFormat="1" applyFont="1" applyFill="1"/>
    <xf numFmtId="43" fontId="2" fillId="4" borderId="0" xfId="0" applyNumberFormat="1" applyFont="1" applyFill="1"/>
    <xf numFmtId="43" fontId="2" fillId="7" borderId="0" xfId="0" applyNumberFormat="1" applyFont="1" applyFill="1"/>
    <xf numFmtId="43" fontId="2" fillId="5" borderId="0" xfId="0" applyNumberFormat="1" applyFont="1" applyFill="1"/>
    <xf numFmtId="0" fontId="5" fillId="0" borderId="0" xfId="0" applyFont="1" applyAlignment="1">
      <alignment horizontal="center"/>
    </xf>
    <xf numFmtId="167" fontId="5" fillId="6" borderId="0" xfId="1" applyNumberFormat="1" applyFont="1" applyFill="1"/>
    <xf numFmtId="44" fontId="5" fillId="6" borderId="0" xfId="0" applyNumberFormat="1" applyFont="1" applyFill="1"/>
    <xf numFmtId="169" fontId="5" fillId="10" borderId="0" xfId="0" applyNumberFormat="1" applyFont="1" applyFill="1"/>
    <xf numFmtId="169" fontId="5" fillId="11" borderId="0" xfId="0" applyNumberFormat="1" applyFont="1" applyFill="1"/>
    <xf numFmtId="167" fontId="5" fillId="11" borderId="0" xfId="1" applyNumberFormat="1" applyFont="1" applyFill="1"/>
    <xf numFmtId="167" fontId="5" fillId="10" borderId="0" xfId="1" applyNumberFormat="1" applyFont="1" applyFill="1"/>
    <xf numFmtId="167" fontId="5" fillId="12" borderId="0" xfId="1" applyNumberFormat="1" applyFont="1" applyFill="1"/>
    <xf numFmtId="169" fontId="5" fillId="0" borderId="0" xfId="0" applyNumberFormat="1" applyFont="1" applyFill="1"/>
    <xf numFmtId="44" fontId="5" fillId="0" borderId="0" xfId="0" applyNumberFormat="1" applyFont="1" applyFill="1"/>
    <xf numFmtId="169" fontId="5" fillId="13" borderId="0" xfId="0" applyNumberFormat="1" applyFont="1" applyFill="1"/>
    <xf numFmtId="167" fontId="5" fillId="13" borderId="0" xfId="1" applyNumberFormat="1" applyFont="1" applyFill="1"/>
    <xf numFmtId="176" fontId="5" fillId="0" borderId="0" xfId="1" applyNumberFormat="1" applyFont="1"/>
    <xf numFmtId="176" fontId="5" fillId="0" borderId="0" xfId="0" applyNumberFormat="1" applyFont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0" applyNumberFormat="1" applyFont="1" applyFill="1"/>
    <xf numFmtId="43" fontId="5" fillId="0" borderId="0" xfId="0" applyNumberFormat="1" applyFont="1" applyFill="1"/>
    <xf numFmtId="167" fontId="5" fillId="6" borderId="0" xfId="0" applyNumberFormat="1" applyFont="1" applyFill="1"/>
    <xf numFmtId="173" fontId="13" fillId="0" borderId="0" xfId="0" applyNumberFormat="1" applyFont="1"/>
    <xf numFmtId="0" fontId="5" fillId="0" borderId="0" xfId="0" applyFont="1" applyAlignment="1">
      <alignment horizontal="center"/>
    </xf>
    <xf numFmtId="43" fontId="6" fillId="0" borderId="0" xfId="6" applyFont="1" applyFill="1" applyAlignment="1">
      <alignment horizontal="center" wrapText="1"/>
    </xf>
    <xf numFmtId="43" fontId="5" fillId="0" borderId="0" xfId="6" applyFont="1" applyFill="1" applyAlignment="1">
      <alignment horizontal="center"/>
    </xf>
    <xf numFmtId="164" fontId="5" fillId="0" borderId="0" xfId="0" applyNumberFormat="1" applyFont="1"/>
    <xf numFmtId="164" fontId="5" fillId="16" borderId="0" xfId="0" applyNumberFormat="1" applyFont="1" applyFill="1"/>
    <xf numFmtId="164" fontId="5" fillId="0" borderId="0" xfId="0" applyNumberFormat="1" applyFont="1" applyFill="1"/>
    <xf numFmtId="164" fontId="5" fillId="12" borderId="0" xfId="0" applyNumberFormat="1" applyFont="1" applyFill="1"/>
    <xf numFmtId="0" fontId="10" fillId="3" borderId="1" xfId="0" applyFont="1" applyFill="1" applyBorder="1" applyAlignment="1" applyProtection="1">
      <alignment vertical="center" wrapText="1" readingOrder="1"/>
      <protection locked="0"/>
    </xf>
    <xf numFmtId="164" fontId="10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39" fontId="5" fillId="0" borderId="0" xfId="0" applyNumberFormat="1" applyFont="1"/>
    <xf numFmtId="0" fontId="10" fillId="15" borderId="1" xfId="0" applyFont="1" applyFill="1" applyBorder="1" applyAlignment="1" applyProtection="1">
      <alignment vertical="center" wrapText="1" readingOrder="1"/>
      <protection locked="0"/>
    </xf>
    <xf numFmtId="164" fontId="10" fillId="15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0" xfId="0" quotePrefix="1" applyNumberFormat="1" applyFont="1"/>
    <xf numFmtId="0" fontId="10" fillId="17" borderId="1" xfId="0" applyFont="1" applyFill="1" applyBorder="1" applyAlignment="1" applyProtection="1">
      <alignment vertical="center" wrapText="1" readingOrder="1"/>
      <protection locked="0"/>
    </xf>
    <xf numFmtId="164" fontId="10" fillId="17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18" borderId="1" xfId="0" applyFont="1" applyFill="1" applyBorder="1" applyAlignment="1" applyProtection="1">
      <alignment vertical="center" wrapText="1" readingOrder="1"/>
      <protection locked="0"/>
    </xf>
    <xf numFmtId="164" fontId="10" fillId="18" borderId="1" xfId="0" applyNumberFormat="1" applyFont="1" applyFill="1" applyBorder="1" applyAlignment="1" applyProtection="1">
      <alignment horizontal="right" vertical="center" wrapText="1" readingOrder="1"/>
      <protection locked="0"/>
    </xf>
    <xf numFmtId="43" fontId="5" fillId="0" borderId="0" xfId="0" quotePrefix="1" applyNumberFormat="1" applyFont="1"/>
    <xf numFmtId="10" fontId="5" fillId="0" borderId="0" xfId="2" applyNumberFormat="1" applyFont="1"/>
    <xf numFmtId="43" fontId="5" fillId="0" borderId="0" xfId="6" applyFont="1" applyAlignment="1">
      <alignment horizontal="center"/>
    </xf>
    <xf numFmtId="0" fontId="5" fillId="0" borderId="0" xfId="0" applyFont="1" applyAlignment="1">
      <alignment horizontal="center"/>
    </xf>
    <xf numFmtId="44" fontId="18" fillId="0" borderId="0" xfId="0" applyNumberFormat="1" applyFont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5" fillId="0" borderId="0" xfId="0" applyFont="1" applyFill="1" applyAlignment="1">
      <alignment horizontal="center"/>
    </xf>
    <xf numFmtId="43" fontId="6" fillId="0" borderId="0" xfId="6" applyFont="1" applyAlignment="1">
      <alignment horizontal="center" wrapText="1"/>
    </xf>
    <xf numFmtId="43" fontId="5" fillId="0" borderId="0" xfId="6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43" fontId="6" fillId="12" borderId="0" xfId="6" applyFont="1" applyFill="1" applyAlignment="1">
      <alignment horizontal="center" wrapText="1"/>
    </xf>
    <xf numFmtId="166" fontId="5" fillId="12" borderId="0" xfId="6" applyNumberFormat="1" applyFont="1" applyFill="1"/>
    <xf numFmtId="43" fontId="5" fillId="0" borderId="0" xfId="1" applyFont="1" applyFill="1"/>
    <xf numFmtId="0" fontId="5" fillId="12" borderId="0" xfId="0" applyFont="1" applyFill="1"/>
    <xf numFmtId="43" fontId="5" fillId="12" borderId="0" xfId="0" applyNumberFormat="1" applyFont="1" applyFill="1"/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43" fontId="10" fillId="3" borderId="1" xfId="1" applyFont="1" applyFill="1" applyBorder="1" applyAlignment="1" applyProtection="1">
      <alignment vertical="center" wrapText="1" readingOrder="1"/>
      <protection locked="0"/>
    </xf>
    <xf numFmtId="43" fontId="5" fillId="3" borderId="0" xfId="1" applyFont="1" applyFill="1"/>
    <xf numFmtId="43" fontId="10" fillId="3" borderId="1" xfId="1" applyFont="1" applyFill="1" applyBorder="1" applyAlignment="1" applyProtection="1">
      <alignment horizontal="right" vertical="center" wrapText="1" readingOrder="1"/>
      <protection locked="0"/>
    </xf>
    <xf numFmtId="43" fontId="5" fillId="3" borderId="0" xfId="1" applyFont="1" applyFill="1" applyAlignment="1">
      <alignment horizontal="right"/>
    </xf>
    <xf numFmtId="0" fontId="10" fillId="15" borderId="1" xfId="0" applyFont="1" applyFill="1" applyBorder="1" applyAlignment="1" applyProtection="1">
      <alignment horizontal="center" vertical="center" wrapText="1" readingOrder="1"/>
      <protection locked="0"/>
    </xf>
    <xf numFmtId="43" fontId="10" fillId="15" borderId="1" xfId="1" applyFont="1" applyFill="1" applyBorder="1" applyAlignment="1" applyProtection="1">
      <alignment vertical="center" wrapText="1" readingOrder="1"/>
      <protection locked="0"/>
    </xf>
    <xf numFmtId="43" fontId="5" fillId="15" borderId="0" xfId="1" applyFont="1" applyFill="1"/>
    <xf numFmtId="43" fontId="10" fillId="15" borderId="1" xfId="1" applyFont="1" applyFill="1" applyBorder="1" applyAlignment="1" applyProtection="1">
      <alignment horizontal="right" vertical="center" wrapText="1" readingOrder="1"/>
      <protection locked="0"/>
    </xf>
    <xf numFmtId="43" fontId="5" fillId="15" borderId="0" xfId="1" applyFont="1" applyFill="1" applyAlignment="1">
      <alignment horizontal="right"/>
    </xf>
    <xf numFmtId="0" fontId="10" fillId="17" borderId="1" xfId="0" applyFont="1" applyFill="1" applyBorder="1" applyAlignment="1" applyProtection="1">
      <alignment horizontal="center" vertical="center" wrapText="1" readingOrder="1"/>
      <protection locked="0"/>
    </xf>
    <xf numFmtId="43" fontId="10" fillId="17" borderId="1" xfId="1" applyFont="1" applyFill="1" applyBorder="1" applyAlignment="1" applyProtection="1">
      <alignment vertical="center" wrapText="1" readingOrder="1"/>
      <protection locked="0"/>
    </xf>
    <xf numFmtId="43" fontId="5" fillId="17" borderId="0" xfId="1" applyFont="1" applyFill="1"/>
    <xf numFmtId="43" fontId="10" fillId="17" borderId="1" xfId="1" applyFont="1" applyFill="1" applyBorder="1" applyAlignment="1" applyProtection="1">
      <alignment horizontal="right" vertical="center" wrapText="1" readingOrder="1"/>
      <protection locked="0"/>
    </xf>
    <xf numFmtId="43" fontId="5" fillId="17" borderId="0" xfId="1" applyFont="1" applyFill="1" applyAlignment="1">
      <alignment horizontal="right"/>
    </xf>
    <xf numFmtId="43" fontId="5" fillId="0" borderId="0" xfId="1" applyFont="1" applyAlignment="1">
      <alignment horizontal="right"/>
    </xf>
    <xf numFmtId="0" fontId="10" fillId="18" borderId="1" xfId="0" applyFont="1" applyFill="1" applyBorder="1" applyAlignment="1" applyProtection="1">
      <alignment horizontal="center" vertical="center" wrapText="1" readingOrder="1"/>
      <protection locked="0"/>
    </xf>
    <xf numFmtId="43" fontId="10" fillId="18" borderId="1" xfId="1" applyFont="1" applyFill="1" applyBorder="1" applyAlignment="1" applyProtection="1">
      <alignment vertical="center" wrapText="1" readingOrder="1"/>
      <protection locked="0"/>
    </xf>
    <xf numFmtId="43" fontId="5" fillId="18" borderId="0" xfId="1" applyFont="1" applyFill="1"/>
    <xf numFmtId="43" fontId="10" fillId="18" borderId="1" xfId="1" applyFont="1" applyFill="1" applyBorder="1" applyAlignment="1" applyProtection="1">
      <alignment horizontal="right" vertical="center" wrapText="1" readingOrder="1"/>
      <protection locked="0"/>
    </xf>
    <xf numFmtId="43" fontId="5" fillId="18" borderId="0" xfId="1" applyFont="1" applyFill="1" applyAlignment="1">
      <alignment horizontal="right"/>
    </xf>
    <xf numFmtId="43" fontId="6" fillId="16" borderId="0" xfId="6" applyFont="1" applyFill="1" applyAlignment="1">
      <alignment horizontal="center" wrapText="1"/>
    </xf>
    <xf numFmtId="43" fontId="6" fillId="19" borderId="0" xfId="6" applyFont="1" applyFill="1" applyAlignment="1">
      <alignment horizontal="center" wrapText="1"/>
    </xf>
    <xf numFmtId="43" fontId="5" fillId="12" borderId="0" xfId="6" applyFont="1" applyFill="1"/>
    <xf numFmtId="166" fontId="5" fillId="16" borderId="0" xfId="6" applyNumberFormat="1" applyFont="1" applyFill="1"/>
    <xf numFmtId="43" fontId="5" fillId="16" borderId="0" xfId="6" applyFont="1" applyFill="1"/>
    <xf numFmtId="166" fontId="5" fillId="19" borderId="0" xfId="6" applyNumberFormat="1" applyFont="1" applyFill="1"/>
    <xf numFmtId="43" fontId="5" fillId="19" borderId="0" xfId="6" applyFont="1" applyFill="1"/>
    <xf numFmtId="0" fontId="5" fillId="16" borderId="0" xfId="0" applyFont="1" applyFill="1"/>
    <xf numFmtId="0" fontId="5" fillId="19" borderId="0" xfId="0" applyFont="1" applyFill="1"/>
    <xf numFmtId="43" fontId="5" fillId="16" borderId="0" xfId="0" applyNumberFormat="1" applyFont="1" applyFill="1"/>
    <xf numFmtId="43" fontId="5" fillId="19" borderId="0" xfId="0" applyNumberFormat="1" applyFont="1" applyFill="1"/>
    <xf numFmtId="177" fontId="5" fillId="12" borderId="0" xfId="0" applyNumberFormat="1" applyFont="1" applyFill="1"/>
    <xf numFmtId="177" fontId="5" fillId="16" borderId="0" xfId="0" applyNumberFormat="1" applyFont="1" applyFill="1"/>
    <xf numFmtId="43" fontId="5" fillId="19" borderId="0" xfId="1" applyFont="1" applyFill="1"/>
    <xf numFmtId="177" fontId="5" fillId="19" borderId="0" xfId="0" applyNumberFormat="1" applyFont="1" applyFill="1"/>
    <xf numFmtId="165" fontId="5" fillId="0" borderId="0" xfId="2" applyNumberFormat="1" applyFont="1"/>
    <xf numFmtId="43" fontId="5" fillId="6" borderId="0" xfId="0" applyNumberFormat="1" applyFont="1" applyFill="1"/>
    <xf numFmtId="176" fontId="5" fillId="0" borderId="0" xfId="1" applyNumberFormat="1" applyFont="1" applyFill="1"/>
    <xf numFmtId="176" fontId="0" fillId="0" borderId="0" xfId="0" applyNumberFormat="1" applyFill="1"/>
    <xf numFmtId="44" fontId="20" fillId="9" borderId="0" xfId="12" applyNumberFormat="1" applyFont="1" applyFill="1" applyBorder="1" applyAlignment="1"/>
    <xf numFmtId="44" fontId="19" fillId="9" borderId="0" xfId="12" applyNumberFormat="1" applyFont="1" applyFill="1" applyBorder="1" applyAlignment="1">
      <alignment horizontal="center"/>
    </xf>
    <xf numFmtId="44" fontId="19" fillId="9" borderId="0" xfId="12" applyNumberFormat="1" applyFont="1" applyFill="1" applyBorder="1" applyAlignment="1">
      <alignment horizontal="right" indent="1"/>
    </xf>
    <xf numFmtId="44" fontId="19" fillId="9" borderId="0" xfId="12" applyNumberFormat="1" applyFont="1" applyFill="1" applyBorder="1" applyAlignment="1">
      <alignment horizontal="left"/>
    </xf>
    <xf numFmtId="169" fontId="19" fillId="9" borderId="0" xfId="12" applyNumberFormat="1" applyFont="1" applyFill="1" applyBorder="1"/>
    <xf numFmtId="170" fontId="19" fillId="9" borderId="0" xfId="2" applyNumberFormat="1" applyFont="1" applyFill="1" applyBorder="1" applyAlignment="1">
      <alignment horizontal="right" indent="1"/>
    </xf>
    <xf numFmtId="167" fontId="19" fillId="9" borderId="0" xfId="1" applyNumberFormat="1" applyFont="1" applyFill="1" applyBorder="1"/>
    <xf numFmtId="167" fontId="22" fillId="9" borderId="0" xfId="1" applyNumberFormat="1" applyFont="1" applyFill="1" applyBorder="1"/>
    <xf numFmtId="170" fontId="23" fillId="9" borderId="0" xfId="2" applyNumberFormat="1" applyFont="1" applyFill="1" applyBorder="1" applyAlignment="1">
      <alignment horizontal="right" indent="1"/>
    </xf>
    <xf numFmtId="44" fontId="19" fillId="9" borderId="0" xfId="12" applyNumberFormat="1" applyFont="1" applyFill="1" applyBorder="1" applyAlignment="1">
      <alignment horizontal="left" indent="1"/>
    </xf>
    <xf numFmtId="44" fontId="19" fillId="9" borderId="0" xfId="12" applyNumberFormat="1" applyFont="1" applyFill="1" applyBorder="1"/>
    <xf numFmtId="169" fontId="19" fillId="9" borderId="0" xfId="5" applyNumberFormat="1" applyFont="1" applyFill="1" applyBorder="1"/>
    <xf numFmtId="170" fontId="19" fillId="9" borderId="0" xfId="12" applyNumberFormat="1" applyFont="1" applyFill="1" applyBorder="1" applyAlignment="1">
      <alignment horizontal="right" indent="1"/>
    </xf>
    <xf numFmtId="170" fontId="23" fillId="9" borderId="0" xfId="12" applyNumberFormat="1" applyFont="1" applyFill="1" applyBorder="1" applyAlignment="1">
      <alignment horizontal="right" indent="1"/>
    </xf>
    <xf numFmtId="44" fontId="20" fillId="9" borderId="0" xfId="12" applyNumberFormat="1" applyFont="1" applyFill="1" applyBorder="1" applyAlignment="1">
      <alignment horizontal="left" indent="1"/>
    </xf>
    <xf numFmtId="44" fontId="19" fillId="9" borderId="0" xfId="12" applyNumberFormat="1" applyFont="1" applyFill="1" applyBorder="1" applyAlignment="1">
      <alignment horizontal="left" indent="2"/>
    </xf>
    <xf numFmtId="167" fontId="19" fillId="9" borderId="0" xfId="12" applyNumberFormat="1" applyFont="1" applyFill="1" applyBorder="1"/>
    <xf numFmtId="0" fontId="25" fillId="0" borderId="0" xfId="0" applyFont="1" applyFill="1" applyBorder="1" applyAlignment="1"/>
    <xf numFmtId="0" fontId="26" fillId="0" borderId="0" xfId="0" applyFont="1"/>
    <xf numFmtId="0" fontId="27" fillId="0" borderId="0" xfId="0" applyFont="1" applyFill="1" applyBorder="1"/>
    <xf numFmtId="0" fontId="27" fillId="0" borderId="0" xfId="0" applyFont="1" applyFill="1" applyBorder="1" applyAlignment="1"/>
    <xf numFmtId="0" fontId="28" fillId="0" borderId="0" xfId="0" applyFont="1" applyFill="1" applyBorder="1" applyAlignment="1">
      <alignment horizontal="center"/>
    </xf>
    <xf numFmtId="169" fontId="27" fillId="0" borderId="0" xfId="0" applyNumberFormat="1" applyFont="1" applyFill="1" applyBorder="1"/>
    <xf numFmtId="42" fontId="27" fillId="0" borderId="0" xfId="0" applyNumberFormat="1" applyFont="1" applyFill="1" applyBorder="1"/>
    <xf numFmtId="44" fontId="27" fillId="0" borderId="0" xfId="0" applyNumberFormat="1" applyFont="1" applyFill="1" applyBorder="1"/>
    <xf numFmtId="169" fontId="26" fillId="0" borderId="0" xfId="0" applyNumberFormat="1" applyFont="1" applyBorder="1"/>
    <xf numFmtId="41" fontId="27" fillId="0" borderId="0" xfId="0" applyNumberFormat="1" applyFont="1" applyFill="1" applyBorder="1"/>
    <xf numFmtId="44" fontId="26" fillId="0" borderId="0" xfId="0" applyNumberFormat="1" applyFont="1" applyAlignment="1">
      <alignment horizontal="left" indent="1"/>
    </xf>
    <xf numFmtId="41" fontId="29" fillId="0" borderId="0" xfId="0" applyNumberFormat="1" applyFont="1" applyFill="1" applyBorder="1"/>
    <xf numFmtId="41" fontId="27" fillId="0" borderId="12" xfId="0" applyNumberFormat="1" applyFont="1" applyFill="1" applyBorder="1"/>
    <xf numFmtId="0" fontId="26" fillId="0" borderId="0" xfId="0" applyFont="1" applyBorder="1"/>
    <xf numFmtId="0" fontId="27" fillId="0" borderId="0" xfId="0" applyFont="1" applyFill="1" applyBorder="1" applyAlignment="1">
      <alignment horizontal="center"/>
    </xf>
    <xf numFmtId="0" fontId="26" fillId="0" borderId="12" xfId="0" applyFont="1" applyBorder="1"/>
    <xf numFmtId="41" fontId="27" fillId="0" borderId="7" xfId="0" applyNumberFormat="1" applyFont="1" applyFill="1" applyBorder="1"/>
    <xf numFmtId="169" fontId="26" fillId="0" borderId="0" xfId="0" applyNumberFormat="1" applyFont="1" applyFill="1" applyBorder="1"/>
    <xf numFmtId="41" fontId="30" fillId="0" borderId="0" xfId="0" applyNumberFormat="1" applyFont="1" applyFill="1" applyBorder="1"/>
    <xf numFmtId="42" fontId="31" fillId="0" borderId="0" xfId="0" applyNumberFormat="1" applyFont="1" applyFill="1" applyBorder="1"/>
    <xf numFmtId="42" fontId="32" fillId="0" borderId="0" xfId="0" applyNumberFormat="1" applyFont="1" applyFill="1" applyBorder="1"/>
    <xf numFmtId="41" fontId="32" fillId="0" borderId="0" xfId="0" applyNumberFormat="1" applyFont="1" applyFill="1" applyBorder="1"/>
    <xf numFmtId="44" fontId="33" fillId="0" borderId="0" xfId="0" applyNumberFormat="1" applyFont="1"/>
    <xf numFmtId="0" fontId="19" fillId="0" borderId="0" xfId="0" applyFont="1"/>
    <xf numFmtId="44" fontId="19" fillId="0" borderId="0" xfId="0" applyNumberFormat="1" applyFont="1"/>
    <xf numFmtId="0" fontId="19" fillId="0" borderId="0" xfId="0" applyFont="1" applyBorder="1"/>
    <xf numFmtId="44" fontId="34" fillId="0" borderId="0" xfId="0" applyNumberFormat="1" applyFont="1" applyFill="1" applyBorder="1"/>
    <xf numFmtId="44" fontId="21" fillId="0" borderId="0" xfId="0" applyNumberFormat="1" applyFont="1" applyFill="1" applyBorder="1"/>
    <xf numFmtId="169" fontId="19" fillId="0" borderId="0" xfId="0" applyNumberFormat="1" applyFont="1" applyBorder="1"/>
    <xf numFmtId="41" fontId="21" fillId="0" borderId="0" xfId="0" applyNumberFormat="1" applyFont="1" applyFill="1" applyBorder="1"/>
    <xf numFmtId="41" fontId="35" fillId="0" borderId="0" xfId="0" applyNumberFormat="1" applyFont="1" applyFill="1" applyBorder="1"/>
    <xf numFmtId="44" fontId="33" fillId="0" borderId="0" xfId="12" applyNumberFormat="1" applyFont="1" applyFill="1" applyBorder="1" applyAlignment="1"/>
    <xf numFmtId="44" fontId="33" fillId="0" borderId="0" xfId="12" applyNumberFormat="1" applyFont="1" applyFill="1" applyBorder="1" applyAlignment="1">
      <alignment horizontal="center"/>
    </xf>
    <xf numFmtId="44" fontId="11" fillId="0" borderId="0" xfId="12" applyNumberFormat="1" applyFont="1" applyBorder="1"/>
    <xf numFmtId="0" fontId="14" fillId="0" borderId="0" xfId="12" applyFont="1" applyBorder="1"/>
    <xf numFmtId="44" fontId="5" fillId="0" borderId="0" xfId="12" applyNumberFormat="1" applyFont="1" applyBorder="1"/>
    <xf numFmtId="44" fontId="19" fillId="0" borderId="0" xfId="12" applyNumberFormat="1" applyFont="1" applyBorder="1" applyAlignment="1">
      <alignment horizontal="center"/>
    </xf>
    <xf numFmtId="44" fontId="19" fillId="0" borderId="0" xfId="12" applyNumberFormat="1" applyFont="1" applyBorder="1"/>
    <xf numFmtId="44" fontId="19" fillId="0" borderId="0" xfId="12" applyNumberFormat="1" applyFont="1" applyBorder="1" applyAlignment="1">
      <alignment horizontal="centerContinuous"/>
    </xf>
    <xf numFmtId="0" fontId="19" fillId="0" borderId="0" xfId="12" applyFont="1" applyBorder="1"/>
    <xf numFmtId="44" fontId="20" fillId="0" borderId="0" xfId="12" applyNumberFormat="1" applyFont="1" applyBorder="1" applyAlignment="1"/>
    <xf numFmtId="44" fontId="20" fillId="0" borderId="0" xfId="12" applyNumberFormat="1" applyFont="1" applyFill="1" applyBorder="1" applyAlignment="1"/>
    <xf numFmtId="44" fontId="36" fillId="0" borderId="0" xfId="12" applyNumberFormat="1" applyFont="1" applyFill="1" applyBorder="1" applyAlignment="1">
      <alignment horizontal="centerContinuous"/>
    </xf>
    <xf numFmtId="44" fontId="33" fillId="0" borderId="0" xfId="12" applyNumberFormat="1" applyFont="1" applyFill="1" applyBorder="1" applyAlignment="1">
      <alignment horizontal="centerContinuous"/>
    </xf>
    <xf numFmtId="0" fontId="21" fillId="9" borderId="0" xfId="12" applyFont="1" applyFill="1" applyBorder="1" applyAlignment="1">
      <alignment horizontal="center"/>
    </xf>
    <xf numFmtId="0" fontId="19" fillId="9" borderId="0" xfId="12" applyFont="1" applyFill="1" applyBorder="1"/>
    <xf numFmtId="170" fontId="19" fillId="9" borderId="0" xfId="2" applyNumberFormat="1" applyFont="1" applyFill="1" applyBorder="1"/>
    <xf numFmtId="170" fontId="19" fillId="9" borderId="0" xfId="12" applyNumberFormat="1" applyFont="1" applyFill="1" applyBorder="1"/>
    <xf numFmtId="169" fontId="19" fillId="0" borderId="0" xfId="5" applyNumberFormat="1" applyFont="1" applyBorder="1"/>
    <xf numFmtId="170" fontId="19" fillId="0" borderId="0" xfId="2" applyNumberFormat="1" applyFont="1" applyBorder="1"/>
    <xf numFmtId="170" fontId="19" fillId="0" borderId="0" xfId="12" applyNumberFormat="1" applyFont="1" applyBorder="1"/>
    <xf numFmtId="167" fontId="19" fillId="0" borderId="0" xfId="1" applyNumberFormat="1" applyFont="1" applyBorder="1"/>
    <xf numFmtId="44" fontId="20" fillId="0" borderId="0" xfId="12" applyNumberFormat="1" applyFont="1" applyBorder="1" applyAlignment="1">
      <alignment horizontal="left" indent="1"/>
    </xf>
    <xf numFmtId="44" fontId="24" fillId="0" borderId="0" xfId="12" applyNumberFormat="1" applyFont="1" applyBorder="1" applyAlignment="1">
      <alignment horizontal="left" indent="1"/>
    </xf>
    <xf numFmtId="169" fontId="19" fillId="9" borderId="0" xfId="12" applyNumberFormat="1" applyFont="1" applyFill="1" applyBorder="1" applyAlignment="1">
      <alignment horizontal="right" indent="1"/>
    </xf>
    <xf numFmtId="169" fontId="19" fillId="0" borderId="0" xfId="12" applyNumberFormat="1" applyFont="1" applyBorder="1"/>
    <xf numFmtId="44" fontId="19" fillId="0" borderId="0" xfId="12" applyNumberFormat="1" applyFont="1" applyBorder="1" applyAlignment="1"/>
    <xf numFmtId="0" fontId="14" fillId="9" borderId="0" xfId="12" applyFont="1" applyFill="1" applyBorder="1"/>
    <xf numFmtId="44" fontId="5" fillId="9" borderId="0" xfId="12" applyNumberFormat="1" applyFont="1" applyFill="1" applyBorder="1" applyAlignment="1">
      <alignment horizontal="left"/>
    </xf>
    <xf numFmtId="167" fontId="6" fillId="9" borderId="0" xfId="1" applyNumberFormat="1" applyFont="1" applyFill="1" applyBorder="1"/>
    <xf numFmtId="44" fontId="5" fillId="9" borderId="0" xfId="12" applyNumberFormat="1" applyFont="1" applyFill="1" applyBorder="1"/>
    <xf numFmtId="170" fontId="5" fillId="9" borderId="0" xfId="12" applyNumberFormat="1" applyFont="1" applyFill="1" applyBorder="1"/>
    <xf numFmtId="167" fontId="5" fillId="0" borderId="0" xfId="1" applyNumberFormat="1" applyFont="1" applyBorder="1"/>
    <xf numFmtId="169" fontId="5" fillId="0" borderId="0" xfId="12" applyNumberFormat="1" applyFont="1" applyBorder="1"/>
    <xf numFmtId="0" fontId="37" fillId="0" borderId="6" xfId="0" applyFont="1" applyFill="1" applyBorder="1"/>
    <xf numFmtId="0" fontId="37" fillId="0" borderId="16" xfId="0" applyFont="1" applyFill="1" applyBorder="1"/>
    <xf numFmtId="0" fontId="37" fillId="0" borderId="7" xfId="0" applyFont="1" applyFill="1" applyBorder="1"/>
    <xf numFmtId="0" fontId="38" fillId="0" borderId="7" xfId="0" applyFont="1" applyFill="1" applyBorder="1" applyAlignment="1"/>
    <xf numFmtId="0" fontId="38" fillId="0" borderId="7" xfId="0" applyFont="1" applyFill="1" applyBorder="1" applyAlignment="1">
      <alignment horizontal="centerContinuous"/>
    </xf>
    <xf numFmtId="0" fontId="38" fillId="0" borderId="8" xfId="0" applyFont="1" applyFill="1" applyBorder="1" applyAlignment="1">
      <alignment horizontal="centerContinuous"/>
    </xf>
    <xf numFmtId="0" fontId="38" fillId="0" borderId="7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7" fillId="0" borderId="9" xfId="0" applyFont="1" applyFill="1" applyBorder="1"/>
    <xf numFmtId="0" fontId="37" fillId="0" borderId="14" xfId="0" applyFont="1" applyFill="1" applyBorder="1"/>
    <xf numFmtId="0" fontId="37" fillId="0" borderId="0" xfId="0" applyFont="1" applyFill="1" applyBorder="1"/>
    <xf numFmtId="0" fontId="37" fillId="0" borderId="10" xfId="0" applyFont="1" applyFill="1" applyBorder="1"/>
    <xf numFmtId="0" fontId="37" fillId="0" borderId="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4" fontId="37" fillId="0" borderId="9" xfId="0" applyNumberFormat="1" applyFont="1" applyFill="1" applyBorder="1" applyAlignment="1">
      <alignment horizontal="center"/>
    </xf>
    <xf numFmtId="44" fontId="37" fillId="0" borderId="14" xfId="0" applyNumberFormat="1" applyFont="1" applyFill="1" applyBorder="1"/>
    <xf numFmtId="0" fontId="37" fillId="0" borderId="17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8" xfId="0" applyFont="1" applyFill="1" applyBorder="1"/>
    <xf numFmtId="0" fontId="37" fillId="0" borderId="6" xfId="0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8" fillId="0" borderId="6" xfId="0" applyFont="1" applyFill="1" applyBorder="1" applyAlignment="1"/>
    <xf numFmtId="0" fontId="3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6" fillId="0" borderId="18" xfId="0" applyFont="1" applyBorder="1"/>
    <xf numFmtId="44" fontId="26" fillId="0" borderId="0" xfId="5" applyFont="1" applyBorder="1"/>
    <xf numFmtId="176" fontId="27" fillId="0" borderId="0" xfId="0" applyNumberFormat="1" applyFont="1" applyFill="1" applyBorder="1"/>
    <xf numFmtId="44" fontId="39" fillId="0" borderId="0" xfId="0" applyNumberFormat="1" applyFont="1" applyFill="1" applyBorder="1"/>
    <xf numFmtId="44" fontId="6" fillId="0" borderId="0" xfId="0" applyNumberFormat="1" applyFont="1" applyAlignment="1">
      <alignment horizontal="left" indent="1"/>
    </xf>
    <xf numFmtId="176" fontId="29" fillId="0" borderId="0" xfId="0" applyNumberFormat="1" applyFont="1" applyFill="1" applyBorder="1"/>
    <xf numFmtId="44" fontId="33" fillId="9" borderId="6" xfId="0" applyNumberFormat="1" applyFont="1" applyFill="1" applyBorder="1"/>
    <xf numFmtId="0" fontId="33" fillId="9" borderId="8" xfId="0" applyFont="1" applyFill="1" applyBorder="1"/>
    <xf numFmtId="0" fontId="33" fillId="9" borderId="6" xfId="0" applyFont="1" applyFill="1" applyBorder="1"/>
    <xf numFmtId="0" fontId="33" fillId="9" borderId="7" xfId="0" applyFont="1" applyFill="1" applyBorder="1"/>
    <xf numFmtId="44" fontId="33" fillId="9" borderId="9" xfId="0" applyNumberFormat="1" applyFont="1" applyFill="1" applyBorder="1"/>
    <xf numFmtId="0" fontId="33" fillId="9" borderId="10" xfId="0" applyFont="1" applyFill="1" applyBorder="1"/>
    <xf numFmtId="0" fontId="33" fillId="9" borderId="9" xfId="0" applyFont="1" applyFill="1" applyBorder="1" applyAlignment="1">
      <alignment horizontal="center"/>
    </xf>
    <xf numFmtId="0" fontId="33" fillId="9" borderId="10" xfId="0" applyFont="1" applyFill="1" applyBorder="1" applyAlignment="1">
      <alignment horizontal="center"/>
    </xf>
    <xf numFmtId="0" fontId="33" fillId="9" borderId="9" xfId="0" applyFont="1" applyFill="1" applyBorder="1"/>
    <xf numFmtId="0" fontId="33" fillId="9" borderId="0" xfId="0" applyFont="1" applyFill="1" applyBorder="1"/>
    <xf numFmtId="43" fontId="33" fillId="9" borderId="9" xfId="1" applyFont="1" applyFill="1" applyBorder="1" applyAlignment="1">
      <alignment horizontal="centerContinuous"/>
    </xf>
    <xf numFmtId="43" fontId="33" fillId="9" borderId="0" xfId="1" applyFont="1" applyFill="1" applyBorder="1" applyAlignment="1">
      <alignment horizontal="centerContinuous"/>
    </xf>
    <xf numFmtId="43" fontId="33" fillId="9" borderId="10" xfId="1" applyFont="1" applyFill="1" applyBorder="1" applyAlignment="1">
      <alignment horizontal="centerContinuous"/>
    </xf>
    <xf numFmtId="44" fontId="33" fillId="9" borderId="9" xfId="0" applyNumberFormat="1" applyFont="1" applyFill="1" applyBorder="1" applyAlignment="1">
      <alignment horizontal="center"/>
    </xf>
    <xf numFmtId="44" fontId="33" fillId="9" borderId="10" xfId="0" applyNumberFormat="1" applyFont="1" applyFill="1" applyBorder="1"/>
    <xf numFmtId="0" fontId="41" fillId="9" borderId="11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33" fillId="9" borderId="11" xfId="0" applyFont="1" applyFill="1" applyBorder="1" applyAlignment="1">
      <alignment horizontal="center"/>
    </xf>
    <xf numFmtId="0" fontId="33" fillId="9" borderId="13" xfId="0" applyFont="1" applyFill="1" applyBorder="1" applyAlignment="1">
      <alignment horizontal="center"/>
    </xf>
    <xf numFmtId="0" fontId="33" fillId="9" borderId="1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7" xfId="0" applyFont="1" applyBorder="1"/>
    <xf numFmtId="44" fontId="42" fillId="0" borderId="0" xfId="0" applyNumberFormat="1" applyFont="1" applyFill="1" applyBorder="1"/>
    <xf numFmtId="175" fontId="21" fillId="0" borderId="0" xfId="0" applyNumberFormat="1" applyFont="1" applyFill="1" applyBorder="1"/>
    <xf numFmtId="175" fontId="35" fillId="0" borderId="0" xfId="0" applyNumberFormat="1" applyFont="1" applyFill="1" applyBorder="1"/>
    <xf numFmtId="169" fontId="43" fillId="9" borderId="0" xfId="12" applyNumberFormat="1" applyFont="1" applyFill="1" applyBorder="1"/>
    <xf numFmtId="170" fontId="22" fillId="9" borderId="0" xfId="12" applyNumberFormat="1" applyFont="1" applyFill="1" applyBorder="1" applyAlignment="1">
      <alignment horizontal="right" indent="1"/>
    </xf>
    <xf numFmtId="170" fontId="22" fillId="9" borderId="0" xfId="2" applyNumberFormat="1" applyFont="1" applyFill="1" applyBorder="1" applyAlignment="1">
      <alignment horizontal="right" indent="1"/>
    </xf>
    <xf numFmtId="170" fontId="43" fillId="9" borderId="0" xfId="2" applyNumberFormat="1" applyFont="1" applyFill="1" applyBorder="1" applyAlignment="1">
      <alignment horizontal="right" indent="1"/>
    </xf>
    <xf numFmtId="170" fontId="43" fillId="9" borderId="0" xfId="12" applyNumberFormat="1" applyFont="1" applyFill="1" applyBorder="1" applyAlignment="1">
      <alignment horizontal="right" indent="1"/>
    </xf>
    <xf numFmtId="44" fontId="27" fillId="0" borderId="0" xfId="0" applyNumberFormat="1" applyFont="1" applyFill="1" applyBorder="1" applyAlignment="1">
      <alignment vertical="top" wrapText="1"/>
    </xf>
    <xf numFmtId="169" fontId="44" fillId="0" borderId="0" xfId="0" applyNumberFormat="1" applyFont="1" applyBorder="1"/>
    <xf numFmtId="167" fontId="29" fillId="0" borderId="0" xfId="0" applyNumberFormat="1" applyFont="1" applyFill="1" applyBorder="1"/>
    <xf numFmtId="169" fontId="43" fillId="0" borderId="0" xfId="0" applyNumberFormat="1" applyFont="1" applyBorder="1"/>
    <xf numFmtId="169" fontId="43" fillId="9" borderId="0" xfId="5" applyNumberFormat="1" applyFont="1" applyFill="1" applyBorder="1"/>
    <xf numFmtId="44" fontId="27" fillId="0" borderId="0" xfId="0" applyNumberFormat="1" applyFont="1" applyFill="1" applyBorder="1" applyAlignment="1"/>
    <xf numFmtId="0" fontId="0" fillId="0" borderId="12" xfId="0" applyBorder="1" applyAlignment="1"/>
    <xf numFmtId="169" fontId="45" fillId="0" borderId="0" xfId="0" applyNumberFormat="1" applyFont="1" applyBorder="1"/>
    <xf numFmtId="167" fontId="26" fillId="0" borderId="0" xfId="1" applyNumberFormat="1" applyFont="1" applyBorder="1"/>
    <xf numFmtId="167" fontId="43" fillId="0" borderId="0" xfId="1" applyNumberFormat="1" applyFont="1" applyBorder="1"/>
    <xf numFmtId="44" fontId="19" fillId="9" borderId="0" xfId="12" applyNumberFormat="1" applyFont="1" applyFill="1" applyBorder="1" applyAlignment="1">
      <alignment horizontal="left" wrapText="1"/>
    </xf>
    <xf numFmtId="169" fontId="19" fillId="9" borderId="0" xfId="12" applyNumberFormat="1" applyFont="1" applyFill="1"/>
    <xf numFmtId="170" fontId="19" fillId="9" borderId="0" xfId="2" applyNumberFormat="1" applyFont="1" applyFill="1" applyAlignment="1">
      <alignment horizontal="right" indent="1"/>
    </xf>
    <xf numFmtId="167" fontId="19" fillId="9" borderId="0" xfId="1" applyNumberFormat="1" applyFont="1" applyFill="1"/>
    <xf numFmtId="167" fontId="22" fillId="9" borderId="0" xfId="1" applyNumberFormat="1" applyFont="1" applyFill="1"/>
    <xf numFmtId="170" fontId="23" fillId="9" borderId="0" xfId="2" applyNumberFormat="1" applyFont="1" applyFill="1" applyAlignment="1">
      <alignment horizontal="right" indent="1"/>
    </xf>
    <xf numFmtId="169" fontId="19" fillId="9" borderId="0" xfId="5" applyNumberFormat="1" applyFont="1" applyFill="1"/>
    <xf numFmtId="0" fontId="21" fillId="0" borderId="0" xfId="12" applyFont="1" applyFill="1" applyBorder="1" applyAlignment="1">
      <alignment horizontal="center"/>
    </xf>
    <xf numFmtId="167" fontId="35" fillId="0" borderId="0" xfId="0" applyNumberFormat="1" applyFont="1" applyFill="1" applyBorder="1"/>
    <xf numFmtId="43" fontId="26" fillId="0" borderId="0" xfId="1" applyFont="1"/>
    <xf numFmtId="169" fontId="0" fillId="0" borderId="0" xfId="0" applyNumberFormat="1"/>
    <xf numFmtId="43" fontId="5" fillId="0" borderId="0" xfId="6" applyFont="1" applyAlignment="1">
      <alignment horizontal="center"/>
    </xf>
    <xf numFmtId="43" fontId="4" fillId="0" borderId="3" xfId="6" applyFont="1" applyBorder="1" applyAlignment="1">
      <alignment horizontal="center"/>
    </xf>
    <xf numFmtId="43" fontId="4" fillId="0" borderId="0" xfId="6" applyFont="1" applyBorder="1" applyAlignment="1">
      <alignment horizontal="center"/>
    </xf>
    <xf numFmtId="43" fontId="4" fillId="0" borderId="2" xfId="6" applyFont="1" applyBorder="1" applyAlignment="1">
      <alignment horizontal="center"/>
    </xf>
    <xf numFmtId="43" fontId="6" fillId="6" borderId="0" xfId="6" applyFont="1" applyFill="1" applyBorder="1" applyAlignment="1">
      <alignment horizontal="center" wrapText="1"/>
    </xf>
    <xf numFmtId="43" fontId="6" fillId="0" borderId="0" xfId="6" applyFont="1" applyAlignment="1">
      <alignment horizontal="center" wrapText="1"/>
    </xf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67" fontId="17" fillId="0" borderId="0" xfId="11" applyNumberFormat="1" applyFill="1" applyAlignment="1">
      <alignment horizontal="center"/>
    </xf>
    <xf numFmtId="43" fontId="6" fillId="0" borderId="0" xfId="1" applyFont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174" fontId="37" fillId="0" borderId="9" xfId="0" applyNumberFormat="1" applyFont="1" applyFill="1" applyBorder="1" applyAlignment="1">
      <alignment horizontal="center"/>
    </xf>
    <xf numFmtId="174" fontId="37" fillId="0" borderId="0" xfId="0" applyNumberFormat="1" applyFont="1" applyFill="1" applyBorder="1" applyAlignment="1">
      <alignment horizontal="center"/>
    </xf>
    <xf numFmtId="174" fontId="37" fillId="0" borderId="10" xfId="0" applyNumberFormat="1" applyFont="1" applyFill="1" applyBorder="1" applyAlignment="1">
      <alignment horizontal="center"/>
    </xf>
    <xf numFmtId="174" fontId="37" fillId="0" borderId="11" xfId="0" applyNumberFormat="1" applyFont="1" applyFill="1" applyBorder="1" applyAlignment="1">
      <alignment horizontal="center"/>
    </xf>
    <xf numFmtId="174" fontId="37" fillId="0" borderId="12" xfId="0" applyNumberFormat="1" applyFont="1" applyFill="1" applyBorder="1" applyAlignment="1">
      <alignment horizontal="center"/>
    </xf>
    <xf numFmtId="174" fontId="37" fillId="0" borderId="13" xfId="0" applyNumberFormat="1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7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left"/>
    </xf>
    <xf numFmtId="0" fontId="33" fillId="9" borderId="9" xfId="0" applyFont="1" applyFill="1" applyBorder="1" applyAlignment="1">
      <alignment horizontal="center"/>
    </xf>
    <xf numFmtId="0" fontId="33" fillId="9" borderId="0" xfId="0" applyFont="1" applyFill="1" applyBorder="1" applyAlignment="1">
      <alignment horizontal="center"/>
    </xf>
    <xf numFmtId="0" fontId="33" fillId="9" borderId="10" xfId="0" applyFont="1" applyFill="1" applyBorder="1" applyAlignment="1">
      <alignment horizontal="center"/>
    </xf>
    <xf numFmtId="0" fontId="41" fillId="9" borderId="6" xfId="0" applyFont="1" applyFill="1" applyBorder="1" applyAlignment="1">
      <alignment horizontal="center"/>
    </xf>
    <xf numFmtId="0" fontId="41" fillId="9" borderId="8" xfId="0" applyFont="1" applyFill="1" applyBorder="1" applyAlignment="1">
      <alignment horizontal="center"/>
    </xf>
    <xf numFmtId="10" fontId="41" fillId="9" borderId="9" xfId="0" applyNumberFormat="1" applyFont="1" applyFill="1" applyBorder="1" applyAlignment="1">
      <alignment horizontal="center"/>
    </xf>
    <xf numFmtId="0" fontId="41" fillId="9" borderId="10" xfId="0" applyFont="1" applyFill="1" applyBorder="1" applyAlignment="1">
      <alignment horizontal="center"/>
    </xf>
  </cellXfs>
  <cellStyles count="13">
    <cellStyle name="Accent3" xfId="11" builtinId="37"/>
    <cellStyle name="Comma" xfId="1" builtinId="3"/>
    <cellStyle name="Comma 2" xfId="6" xr:uid="{00000000-0005-0000-0000-000002000000}"/>
    <cellStyle name="Comma 3" xfId="7" xr:uid="{00000000-0005-0000-0000-000003000000}"/>
    <cellStyle name="Currency" xfId="5" builtinId="4"/>
    <cellStyle name="Normal" xfId="0" builtinId="0"/>
    <cellStyle name="Normal 2" xfId="4" xr:uid="{00000000-0005-0000-0000-000006000000}"/>
    <cellStyle name="Normal 3" xfId="3" xr:uid="{00000000-0005-0000-0000-000007000000}"/>
    <cellStyle name="Normal 4" xfId="8" xr:uid="{00000000-0005-0000-0000-000008000000}"/>
    <cellStyle name="Normal 5" xfId="12" xr:uid="{00000000-0005-0000-0000-000009000000}"/>
    <cellStyle name="Percent" xfId="2" builtinId="5"/>
    <cellStyle name="Percent 2" xfId="10" xr:uid="{00000000-0005-0000-0000-00000B000000}"/>
    <cellStyle name="Percent 4" xfId="9" xr:uid="{00000000-0005-0000-0000-00000C000000}"/>
  </cellStyles>
  <dxfs count="0"/>
  <tableStyles count="0" defaultTableStyle="TableStyleMedium2" defaultPivotStyle="PivotStyleLight16"/>
  <colors>
    <mruColors>
      <color rgb="FF000099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\Accounting\CAFR%20DOCUMENTS\2014\2014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\Accounting\CAFR%20DOCUMENTS\2015\2015%20year%20end%20contribu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entucky%20Teachers\GASB%2067\2014\Proportionate%20Share%202014%20-%20ct%20no%20spl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 Behalf"/>
      <sheetName val="YTD Detail Reports 10_6"/>
      <sheetName val="YTD Detail Reports"/>
      <sheetName val="YTD Detail Reports (2)"/>
      <sheetName val="OnBehalfReport"/>
      <sheetName val="OnBehalfReport Final"/>
      <sheetName val="Payroll Detail reports"/>
      <sheetName val="Contributions Logi"/>
      <sheetName val="Sheet1"/>
    </sheetNames>
    <sheetDataSet>
      <sheetData sheetId="0">
        <row r="371">
          <cell r="I371">
            <v>0.82291847332047863</v>
          </cell>
        </row>
        <row r="372">
          <cell r="I372">
            <v>0.17708152667952134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last year"/>
      <sheetName val="Over-Under Calc"/>
      <sheetName val="Proportionate share of contribs"/>
      <sheetName val="ORP and Reemployed Salaries"/>
      <sheetName val="KSU"/>
      <sheetName val="Purchases"/>
      <sheetName val="PYAs"/>
      <sheetName val="USERRA Military Purchases"/>
      <sheetName val="Personal Checks OverUnder"/>
      <sheetName val="Over-Under JV"/>
      <sheetName val="Interest posting estimate"/>
      <sheetName val="Propor share of cont OSBD"/>
    </sheetNames>
    <sheetDataSet>
      <sheetData sheetId="0"/>
      <sheetData sheetId="1">
        <row r="70">
          <cell r="E70">
            <v>3398355699.196486</v>
          </cell>
        </row>
      </sheetData>
      <sheetData sheetId="2"/>
      <sheetData sheetId="3">
        <row r="19">
          <cell r="G19">
            <v>32532860.544337139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rtionate share of contribs"/>
      <sheetName val="With SEEK by Employer"/>
      <sheetName val="Without SEEK by employer"/>
      <sheetName val="Allocation schedule Univ"/>
      <sheetName val="Allocation schedule Non"/>
      <sheetName val="Employer Allocations"/>
    </sheetNames>
    <sheetDataSet>
      <sheetData sheetId="0"/>
      <sheetData sheetId="1"/>
      <sheetData sheetId="2"/>
      <sheetData sheetId="3">
        <row r="18">
          <cell r="AG18">
            <v>280185633</v>
          </cell>
          <cell r="AH18">
            <v>-1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272"/>
  <sheetViews>
    <sheetView workbookViewId="0">
      <pane xSplit="2" ySplit="5" topLeftCell="BS180" activePane="bottomRight" state="frozen"/>
      <selection pane="topRight" activeCell="C1" sqref="C1"/>
      <selection pane="bottomLeft" activeCell="A4" sqref="A4"/>
      <selection pane="bottomRight" activeCell="F220" sqref="F220"/>
    </sheetView>
  </sheetViews>
  <sheetFormatPr defaultColWidth="9.15234375" defaultRowHeight="14.15" x14ac:dyDescent="0.35"/>
  <cols>
    <col min="1" max="1" width="9.23046875" style="52" bestFit="1" customWidth="1"/>
    <col min="2" max="2" width="46.69140625" style="52" bestFit="1" customWidth="1"/>
    <col min="3" max="5" width="19" style="52" customWidth="1"/>
    <col min="6" max="6" width="21.15234375" style="52" customWidth="1"/>
    <col min="7" max="7" width="19.69140625" style="52" customWidth="1"/>
    <col min="8" max="8" width="20.15234375" style="52" customWidth="1"/>
    <col min="9" max="11" width="21.61328125" style="52" customWidth="1"/>
    <col min="12" max="14" width="24.61328125" style="52" customWidth="1"/>
    <col min="15" max="17" width="22.15234375" style="52" customWidth="1"/>
    <col min="18" max="18" width="15.69140625" style="52" customWidth="1"/>
    <col min="19" max="19" width="15.23046875" style="52" customWidth="1"/>
    <col min="20" max="20" width="17.23046875" style="52" customWidth="1"/>
    <col min="21" max="21" width="18.23046875" style="52" customWidth="1"/>
    <col min="22" max="22" width="19.69140625" style="52" customWidth="1"/>
    <col min="23" max="27" width="14" style="52" customWidth="1"/>
    <col min="28" max="28" width="14" style="52" bestFit="1" customWidth="1"/>
    <col min="29" max="29" width="14.69140625" style="52" customWidth="1"/>
    <col min="30" max="30" width="11.3828125" style="52" customWidth="1"/>
    <col min="31" max="31" width="14" style="52" customWidth="1"/>
    <col min="32" max="32" width="14.61328125" style="52" customWidth="1"/>
    <col min="33" max="35" width="14" style="52" customWidth="1"/>
    <col min="36" max="36" width="12.84375" style="52" customWidth="1"/>
    <col min="37" max="37" width="10.3828125" style="52" customWidth="1"/>
    <col min="38" max="38" width="13" style="52" customWidth="1"/>
    <col min="39" max="41" width="12.84375" style="52" customWidth="1"/>
    <col min="42" max="42" width="15.15234375" style="52" customWidth="1"/>
    <col min="43" max="43" width="14.15234375" style="52" customWidth="1"/>
    <col min="44" max="44" width="11.3828125" style="52" customWidth="1"/>
    <col min="45" max="45" width="14.15234375" style="52" customWidth="1"/>
    <col min="46" max="46" width="15" style="52" bestFit="1" customWidth="1"/>
    <col min="47" max="48" width="14.15234375" style="52" customWidth="1"/>
    <col min="49" max="49" width="11.3828125" style="52" customWidth="1"/>
    <col min="50" max="50" width="14.15234375" style="52" customWidth="1"/>
    <col min="51" max="52" width="14" style="52" customWidth="1"/>
    <col min="53" max="53" width="12.84375" style="52" customWidth="1"/>
    <col min="54" max="55" width="13.23046875" style="52" customWidth="1"/>
    <col min="56" max="56" width="10.3828125" style="52" customWidth="1"/>
    <col min="57" max="57" width="11.3828125" style="52" customWidth="1"/>
    <col min="58" max="58" width="10.69140625" style="52" customWidth="1"/>
    <col min="59" max="59" width="12.15234375" style="52" customWidth="1"/>
    <col min="60" max="60" width="10.23046875" style="52" customWidth="1"/>
    <col min="61" max="62" width="12.15234375" style="52" customWidth="1"/>
    <col min="63" max="64" width="10.3828125" style="52" customWidth="1"/>
    <col min="65" max="66" width="16.3828125" style="52" bestFit="1" customWidth="1"/>
    <col min="67" max="67" width="15.15234375" style="52" customWidth="1"/>
    <col min="68" max="68" width="13" style="52" customWidth="1"/>
    <col min="69" max="69" width="10.3828125" style="52" customWidth="1"/>
    <col min="70" max="70" width="16.69140625" style="52" customWidth="1"/>
    <col min="71" max="72" width="19.84375" style="52" customWidth="1"/>
    <col min="73" max="73" width="11.69140625" style="52" customWidth="1"/>
    <col min="74" max="77" width="17.84375" style="52" customWidth="1"/>
    <col min="78" max="78" width="10.84375" style="52" customWidth="1"/>
    <col min="79" max="79" width="16.69140625" style="52" customWidth="1"/>
    <col min="80" max="80" width="9.84375" style="52" customWidth="1"/>
    <col min="81" max="84" width="9.15234375" style="52" customWidth="1"/>
    <col min="85" max="86" width="15" style="52" bestFit="1" customWidth="1"/>
    <col min="87" max="88" width="16.3828125" style="52" bestFit="1" customWidth="1"/>
    <col min="89" max="89" width="11.3828125" style="52" bestFit="1" customWidth="1"/>
    <col min="90" max="90" width="14" style="52" bestFit="1" customWidth="1"/>
    <col min="91" max="91" width="16.3828125" style="52" bestFit="1" customWidth="1"/>
    <col min="92" max="94" width="9.23046875"/>
    <col min="95" max="96" width="15" style="52" bestFit="1" customWidth="1"/>
    <col min="97" max="99" width="15" style="52" customWidth="1"/>
    <col min="100" max="100" width="14" style="52" bestFit="1" customWidth="1"/>
    <col min="101" max="101" width="15" style="52" bestFit="1" customWidth="1"/>
    <col min="102" max="103" width="14" style="52" customWidth="1"/>
    <col min="104" max="104" width="12.84375" style="52" bestFit="1" customWidth="1"/>
    <col min="105" max="16384" width="9.15234375" style="52"/>
  </cols>
  <sheetData>
    <row r="1" spans="1:104" ht="69" customHeight="1" x14ac:dyDescent="0.5"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  <c r="W1" s="350" t="s">
        <v>0</v>
      </c>
      <c r="X1" s="351"/>
      <c r="Y1" s="351"/>
      <c r="Z1" s="351"/>
      <c r="AA1" s="351"/>
      <c r="AB1" s="351"/>
      <c r="AC1" s="351"/>
      <c r="AD1" s="351"/>
      <c r="AE1" s="352"/>
      <c r="AF1" s="55" t="s">
        <v>300</v>
      </c>
      <c r="AG1" s="350" t="s">
        <v>22</v>
      </c>
      <c r="AH1" s="351"/>
      <c r="AI1" s="351"/>
      <c r="AJ1" s="351"/>
      <c r="AK1" s="351"/>
      <c r="AL1" s="351"/>
      <c r="AM1" s="134" t="s">
        <v>1</v>
      </c>
      <c r="AN1" s="134" t="s">
        <v>24</v>
      </c>
      <c r="AO1" s="134" t="s">
        <v>25</v>
      </c>
      <c r="AP1" s="353" t="s">
        <v>661</v>
      </c>
      <c r="AQ1" s="353"/>
      <c r="AR1" s="353"/>
      <c r="AS1" s="353"/>
      <c r="AT1" s="354" t="s">
        <v>32</v>
      </c>
      <c r="AU1" s="354"/>
      <c r="AV1" s="354"/>
      <c r="AW1" s="354"/>
      <c r="AX1" s="134" t="s">
        <v>37</v>
      </c>
      <c r="AY1" s="134" t="s">
        <v>40</v>
      </c>
      <c r="AZ1" s="134" t="s">
        <v>42</v>
      </c>
      <c r="BA1" s="110" t="s">
        <v>38</v>
      </c>
      <c r="BB1" s="134" t="s">
        <v>45</v>
      </c>
      <c r="BC1" s="134" t="s">
        <v>683</v>
      </c>
      <c r="BD1" s="134" t="s">
        <v>47</v>
      </c>
      <c r="BE1" s="134" t="s">
        <v>48</v>
      </c>
      <c r="BF1" s="134" t="s">
        <v>50</v>
      </c>
      <c r="BG1" s="134" t="s">
        <v>52</v>
      </c>
      <c r="BH1" s="134" t="s">
        <v>47</v>
      </c>
      <c r="BI1" s="134" t="s">
        <v>42</v>
      </c>
      <c r="BJ1" s="134" t="s">
        <v>42</v>
      </c>
      <c r="BK1" s="134" t="s">
        <v>56</v>
      </c>
      <c r="BL1" s="134" t="s">
        <v>47</v>
      </c>
      <c r="BM1" s="134" t="s">
        <v>59</v>
      </c>
      <c r="BN1" s="134" t="s">
        <v>60</v>
      </c>
      <c r="BO1" s="134" t="s">
        <v>61</v>
      </c>
      <c r="BP1" s="134" t="s">
        <v>62</v>
      </c>
      <c r="BQ1" s="134" t="s">
        <v>63</v>
      </c>
      <c r="BR1" s="134" t="s">
        <v>59</v>
      </c>
      <c r="BS1" s="138" t="s">
        <v>87</v>
      </c>
      <c r="BT1" s="56"/>
      <c r="BU1" s="138" t="s">
        <v>66</v>
      </c>
      <c r="BV1" s="164" t="s">
        <v>690</v>
      </c>
      <c r="BW1" s="164" t="s">
        <v>691</v>
      </c>
      <c r="BX1" s="165" t="s">
        <v>692</v>
      </c>
      <c r="BY1" s="165" t="s">
        <v>693</v>
      </c>
      <c r="BZ1" s="134"/>
      <c r="CA1" s="134"/>
      <c r="CB1" s="134"/>
      <c r="CC1" s="134"/>
      <c r="CG1" s="349" t="s">
        <v>401</v>
      </c>
      <c r="CH1" s="349"/>
      <c r="CI1" s="349"/>
      <c r="CJ1" s="349"/>
      <c r="CK1" s="4"/>
      <c r="CL1" s="4"/>
      <c r="CM1" s="4"/>
      <c r="CN1" s="4"/>
      <c r="CO1" s="4"/>
      <c r="CP1" s="4"/>
      <c r="CQ1" s="349"/>
      <c r="CR1" s="349"/>
      <c r="CS1" s="128"/>
      <c r="CT1" s="128"/>
      <c r="CU1" s="128"/>
      <c r="CV1" s="4"/>
      <c r="CW1" s="4"/>
      <c r="CX1" s="4"/>
    </row>
    <row r="2" spans="1:104" ht="42.75" customHeight="1" x14ac:dyDescent="0.35">
      <c r="B2" s="52" t="s">
        <v>684</v>
      </c>
      <c r="C2" s="57" t="s">
        <v>685</v>
      </c>
      <c r="D2" s="58" t="s">
        <v>387</v>
      </c>
      <c r="E2" s="58" t="s">
        <v>388</v>
      </c>
      <c r="F2" s="58" t="s">
        <v>389</v>
      </c>
      <c r="G2" s="58" t="s">
        <v>390</v>
      </c>
      <c r="H2" s="58" t="s">
        <v>391</v>
      </c>
      <c r="I2" s="58" t="s">
        <v>392</v>
      </c>
      <c r="J2" s="58" t="s">
        <v>393</v>
      </c>
      <c r="K2" s="58" t="s">
        <v>394</v>
      </c>
      <c r="L2" s="58" t="s">
        <v>395</v>
      </c>
      <c r="M2" s="58" t="s">
        <v>396</v>
      </c>
      <c r="N2" s="58" t="s">
        <v>397</v>
      </c>
      <c r="O2" s="58" t="s">
        <v>686</v>
      </c>
      <c r="P2" s="58" t="s">
        <v>398</v>
      </c>
      <c r="Q2" s="58" t="s">
        <v>399</v>
      </c>
      <c r="R2" s="58" t="s">
        <v>400</v>
      </c>
      <c r="S2" s="57" t="s">
        <v>1</v>
      </c>
      <c r="T2" s="57" t="s">
        <v>2</v>
      </c>
      <c r="U2" s="58" t="s">
        <v>3</v>
      </c>
      <c r="V2" s="57" t="s">
        <v>4</v>
      </c>
      <c r="W2" s="58" t="s">
        <v>11</v>
      </c>
      <c r="X2" s="58" t="s">
        <v>21</v>
      </c>
      <c r="Y2" s="135" t="s">
        <v>16</v>
      </c>
      <c r="Z2" s="135" t="s">
        <v>662</v>
      </c>
      <c r="AA2" s="135" t="s">
        <v>663</v>
      </c>
      <c r="AB2" s="135" t="s">
        <v>17</v>
      </c>
      <c r="AC2" s="135" t="s">
        <v>18</v>
      </c>
      <c r="AD2" s="135" t="s">
        <v>19</v>
      </c>
      <c r="AE2" s="135" t="s">
        <v>20</v>
      </c>
      <c r="AF2" s="135" t="s">
        <v>18</v>
      </c>
      <c r="AG2" s="58" t="s">
        <v>11</v>
      </c>
      <c r="AH2" s="58" t="s">
        <v>21</v>
      </c>
      <c r="AI2" s="135" t="s">
        <v>16</v>
      </c>
      <c r="AJ2" s="135" t="s">
        <v>18</v>
      </c>
      <c r="AK2" s="135" t="s">
        <v>19</v>
      </c>
      <c r="AL2" s="135" t="s">
        <v>20</v>
      </c>
      <c r="AM2" s="135" t="s">
        <v>23</v>
      </c>
      <c r="AN2" s="135" t="s">
        <v>23</v>
      </c>
      <c r="AO2" s="135" t="s">
        <v>26</v>
      </c>
      <c r="AP2" s="135" t="s">
        <v>28</v>
      </c>
      <c r="AQ2" s="135" t="s">
        <v>29</v>
      </c>
      <c r="AR2" s="135" t="s">
        <v>30</v>
      </c>
      <c r="AS2" s="135" t="s">
        <v>31</v>
      </c>
      <c r="AT2" s="135" t="s">
        <v>687</v>
      </c>
      <c r="AU2" s="135" t="s">
        <v>33</v>
      </c>
      <c r="AV2" s="135" t="s">
        <v>34</v>
      </c>
      <c r="AW2" s="135" t="s">
        <v>35</v>
      </c>
      <c r="AX2" s="135" t="s">
        <v>36</v>
      </c>
      <c r="AY2" s="135" t="s">
        <v>41</v>
      </c>
      <c r="AZ2" s="135" t="s">
        <v>43</v>
      </c>
      <c r="BA2" s="111" t="s">
        <v>39</v>
      </c>
      <c r="BB2" s="135" t="s">
        <v>44</v>
      </c>
      <c r="BC2" s="135" t="s">
        <v>688</v>
      </c>
      <c r="BD2" s="135" t="s">
        <v>46</v>
      </c>
      <c r="BE2" s="135" t="s">
        <v>49</v>
      </c>
      <c r="BF2" s="135" t="s">
        <v>51</v>
      </c>
      <c r="BG2" s="135" t="s">
        <v>53</v>
      </c>
      <c r="BH2" s="135" t="s">
        <v>54</v>
      </c>
      <c r="BI2" s="135" t="s">
        <v>55</v>
      </c>
      <c r="BJ2" s="135" t="s">
        <v>689</v>
      </c>
      <c r="BK2" s="135" t="s">
        <v>57</v>
      </c>
      <c r="BL2" s="135" t="s">
        <v>58</v>
      </c>
      <c r="BN2" s="52">
        <f>Y5+AE5+AI5+AL5+AM5+AN5+AO5+AP5+AQ5+AU5+AV5+AW5+AY5+AZ5+BA5+BB5+BE5+BF5+BG5+BI5+Z5+AA5+AT5+BC5</f>
        <v>1060719993.7738854</v>
      </c>
      <c r="BO2" s="52">
        <f>AB5+AC5+AF5+AJ5+AS5+AX5+BD5+BL5</f>
        <v>180375986.08205867</v>
      </c>
      <c r="BP2" s="52">
        <f>AD5+AK5+AR5+BH5+BJ5</f>
        <v>1049682.9180847025</v>
      </c>
      <c r="BQ2" s="52">
        <f>BK5</f>
        <v>220001.16</v>
      </c>
      <c r="BS2" s="139">
        <f>BS5/BN5</f>
        <v>0.96551936467954302</v>
      </c>
      <c r="BT2" s="60"/>
      <c r="BU2" s="166" t="s">
        <v>65</v>
      </c>
      <c r="BV2" s="167">
        <f>BV5/BP5</f>
        <v>163.39884052588749</v>
      </c>
      <c r="BW2" s="168" t="s">
        <v>65</v>
      </c>
      <c r="BX2" s="169">
        <f>BX5/BQ5</f>
        <v>4.3935280581158409</v>
      </c>
      <c r="BY2" s="170" t="s">
        <v>65</v>
      </c>
      <c r="CF2" s="62"/>
      <c r="CG2" s="58"/>
      <c r="CH2" s="58"/>
      <c r="CI2" s="4"/>
      <c r="CJ2" s="4"/>
      <c r="CK2" s="136"/>
      <c r="CL2" s="4"/>
      <c r="CM2" s="4"/>
      <c r="CN2" s="4"/>
      <c r="CO2" s="4"/>
      <c r="CP2" s="4"/>
      <c r="CQ2" s="58"/>
      <c r="CR2" s="58"/>
      <c r="CS2" s="58"/>
      <c r="CT2" s="58"/>
      <c r="CU2" s="58"/>
      <c r="CV2" s="109"/>
      <c r="CW2" s="4"/>
      <c r="CX2" s="4"/>
    </row>
    <row r="3" spans="1:104" ht="42.75" customHeight="1" x14ac:dyDescent="0.35"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8"/>
      <c r="V3" s="57"/>
      <c r="W3" s="58"/>
      <c r="X3" s="58"/>
      <c r="Y3" s="59" t="e">
        <f>Y5-Y4+AI5</f>
        <v>#VALUE!</v>
      </c>
      <c r="Z3" s="59"/>
      <c r="AA3" s="59"/>
      <c r="AB3" s="59" t="e">
        <f t="shared" ref="AB3" si="0">AB5-AB4</f>
        <v>#VALUE!</v>
      </c>
      <c r="AC3" s="59" t="e">
        <f>AC5-AC4+AJ5+AF5</f>
        <v>#VALUE!</v>
      </c>
      <c r="AD3" s="59" t="e">
        <f>AD5-AD4+AK5</f>
        <v>#VALUE!</v>
      </c>
      <c r="AE3" s="59" t="e">
        <f>AE5-AE4+AL5</f>
        <v>#VALUE!</v>
      </c>
      <c r="AF3" s="59"/>
      <c r="AG3" s="58"/>
      <c r="AH3" s="58"/>
      <c r="AI3" s="59"/>
      <c r="AJ3" s="59"/>
      <c r="AK3" s="59"/>
      <c r="AL3" s="59"/>
      <c r="AM3" s="59">
        <f>AN5-AM4+AM5</f>
        <v>1270018.23</v>
      </c>
      <c r="AO3" s="59">
        <f t="shared" ref="AO3:BL3" si="1">AO5-AO4</f>
        <v>6296338.9000000004</v>
      </c>
      <c r="AP3" s="59">
        <f>AP5-AP4</f>
        <v>275325115.27611005</v>
      </c>
      <c r="AQ3" s="59">
        <f t="shared" si="1"/>
        <v>94636074.096350029</v>
      </c>
      <c r="AR3" s="59">
        <f t="shared" si="1"/>
        <v>881702.55369270244</v>
      </c>
      <c r="AS3" s="59">
        <f t="shared" si="1"/>
        <v>22042563.842317566</v>
      </c>
      <c r="AT3" s="135"/>
      <c r="AU3" s="59">
        <f t="shared" si="1"/>
        <v>63875700</v>
      </c>
      <c r="AV3" s="59">
        <f t="shared" si="1"/>
        <v>48413900</v>
      </c>
      <c r="AW3" s="59">
        <f t="shared" si="1"/>
        <v>628700</v>
      </c>
      <c r="AX3" s="59">
        <f t="shared" si="1"/>
        <v>53454167.509999998</v>
      </c>
      <c r="AY3" s="59">
        <f t="shared" si="1"/>
        <v>74192.289999999994</v>
      </c>
      <c r="AZ3" s="59">
        <f t="shared" si="1"/>
        <v>-220001.16</v>
      </c>
      <c r="BA3" s="59">
        <f t="shared" si="1"/>
        <v>1786132.3199999996</v>
      </c>
      <c r="BB3" s="59">
        <f t="shared" si="1"/>
        <v>12201.02</v>
      </c>
      <c r="BC3" s="135"/>
      <c r="BD3" s="59">
        <f t="shared" si="1"/>
        <v>8656.4599999999991</v>
      </c>
      <c r="BE3" s="59">
        <f t="shared" si="1"/>
        <v>84092.43</v>
      </c>
      <c r="BF3" s="59">
        <f t="shared" si="1"/>
        <v>28858.68</v>
      </c>
      <c r="BG3" s="59">
        <f t="shared" si="1"/>
        <v>0</v>
      </c>
      <c r="BH3" s="59">
        <f t="shared" si="1"/>
        <v>327.42</v>
      </c>
      <c r="BI3" s="59">
        <f t="shared" si="1"/>
        <v>-2197.79</v>
      </c>
      <c r="BJ3" s="135"/>
      <c r="BK3" s="59">
        <f t="shared" si="1"/>
        <v>220001.16</v>
      </c>
      <c r="BL3" s="59">
        <f t="shared" si="1"/>
        <v>77527.16</v>
      </c>
      <c r="BM3" s="52" t="e">
        <f>SUM(Y3:AF3)+SUM(AI3:BL3)</f>
        <v>#VALUE!</v>
      </c>
      <c r="BS3" s="60"/>
      <c r="BT3" s="60"/>
      <c r="BU3" s="61"/>
      <c r="CG3" s="4" t="s">
        <v>666</v>
      </c>
      <c r="CH3" s="4" t="s">
        <v>667</v>
      </c>
      <c r="CI3" s="129"/>
      <c r="CJ3" s="4"/>
      <c r="CK3" s="4"/>
      <c r="CL3" s="4"/>
      <c r="CM3" s="129"/>
      <c r="CQ3" s="4"/>
      <c r="CR3" s="4"/>
      <c r="CS3" s="4"/>
      <c r="CT3" s="4"/>
      <c r="CU3" s="4"/>
      <c r="CW3" s="63"/>
    </row>
    <row r="4" spans="1:104" ht="15" customHeight="1" x14ac:dyDescent="0.35">
      <c r="A4" s="4"/>
      <c r="B4" s="4" t="s">
        <v>664</v>
      </c>
      <c r="C4" s="10">
        <v>3456412919.5999999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0" t="e">
        <f>ABS((_xll.YTDENDBAL($A$1,$A$2,$A$3,,,,,,,,,,,,,,,,Y2)))</f>
        <v>#VALUE!</v>
      </c>
      <c r="Z4" s="10" t="e">
        <f>ABS((_xll.YTDENDBAL($A$1,$A$2,$A$3,,,,,,,,,,,,,,,,Z2)))</f>
        <v>#VALUE!</v>
      </c>
      <c r="AA4" s="10" t="e">
        <f>ABS(_xll.YTDENDBAL($A$1,$A$2,$A$3,,,,,,,,,,,,,,,,AA2))</f>
        <v>#VALUE!</v>
      </c>
      <c r="AB4" s="10" t="e">
        <f>ABS(_xll.YTDENDBAL($A$1,$A$2,$A$3,,,,,,,,,,,,,,,,AB2))</f>
        <v>#VALUE!</v>
      </c>
      <c r="AC4" s="10" t="e">
        <f>ABS(_xll.YTDENDBAL($A$1,$A$2,$A$3,,,,,,,,,,,,,,,,AC2))</f>
        <v>#VALUE!</v>
      </c>
      <c r="AD4" s="10" t="e">
        <f>ABS(_xll.YTDENDBAL($A$1,$A$2,$A$3,,,,,,,,,,,,,,,,AD2))</f>
        <v>#VALUE!</v>
      </c>
      <c r="AE4" s="10" t="e">
        <f>ABS(_xll.YTDENDBAL($A$1,$A$2,$A$3,,,,,,,,,,,,,,,,AE2))</f>
        <v>#VALUE!</v>
      </c>
      <c r="AF4" s="10"/>
      <c r="AG4" s="4"/>
      <c r="AH4" s="4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4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9"/>
      <c r="BN4" s="4"/>
      <c r="BO4" s="4"/>
      <c r="BP4" s="4"/>
      <c r="BQ4" s="4"/>
      <c r="BR4" s="4"/>
      <c r="BS4" s="141"/>
      <c r="BT4" s="60"/>
      <c r="BU4" s="141"/>
      <c r="BV4" s="171"/>
      <c r="BW4" s="171"/>
      <c r="BX4" s="172"/>
      <c r="BY4" s="172"/>
      <c r="BZ4" s="4"/>
      <c r="CA4" s="4"/>
      <c r="CB4" s="4"/>
      <c r="CC4" s="4"/>
      <c r="CD4" s="4"/>
      <c r="CE4" s="4"/>
      <c r="CF4" s="4"/>
      <c r="CG4" s="62"/>
      <c r="CI4" s="10"/>
      <c r="CJ4" s="10"/>
      <c r="CK4" s="4"/>
      <c r="CL4" s="4"/>
      <c r="CM4" s="4"/>
      <c r="CN4" s="4"/>
      <c r="CO4" s="4"/>
      <c r="CP4" s="4"/>
      <c r="CQ4" s="62"/>
      <c r="CW4" s="63"/>
    </row>
    <row r="5" spans="1:104" ht="19.5" customHeight="1" x14ac:dyDescent="0.35">
      <c r="A5" s="4"/>
      <c r="B5" s="4"/>
      <c r="C5" s="112">
        <f>SUM(C6:C213)</f>
        <v>3480696465.8004184</v>
      </c>
      <c r="D5" s="112">
        <f t="shared" ref="D5:AS5" si="2">SUM(D6:D213)</f>
        <v>319304324.03999996</v>
      </c>
      <c r="E5" s="112">
        <f t="shared" si="2"/>
        <v>118765191.33999997</v>
      </c>
      <c r="F5" s="112">
        <f t="shared" si="2"/>
        <v>438069515.37999994</v>
      </c>
      <c r="G5" s="112">
        <f t="shared" si="2"/>
        <v>32334334.320000004</v>
      </c>
      <c r="H5" s="112">
        <f t="shared" si="2"/>
        <v>12735419.859999999</v>
      </c>
      <c r="I5" s="112">
        <f t="shared" si="2"/>
        <v>45069754.18</v>
      </c>
      <c r="J5" s="112">
        <f t="shared" si="2"/>
        <v>64984505.960000023</v>
      </c>
      <c r="K5" s="112">
        <f t="shared" si="2"/>
        <v>23184634.219999976</v>
      </c>
      <c r="L5" s="112">
        <f>SUM(L6:L213)</f>
        <v>88169140.180000022</v>
      </c>
      <c r="M5" s="112">
        <f t="shared" si="2"/>
        <v>26646295.679999985</v>
      </c>
      <c r="N5" s="112">
        <f t="shared" si="2"/>
        <v>15041057.409999996</v>
      </c>
      <c r="O5" s="112">
        <f t="shared" si="2"/>
        <v>41687353.090000018</v>
      </c>
      <c r="P5" s="112">
        <f t="shared" si="2"/>
        <v>165453526.51999998</v>
      </c>
      <c r="Q5" s="112">
        <f t="shared" si="2"/>
        <v>93393655.220000044</v>
      </c>
      <c r="R5" s="112">
        <f t="shared" si="2"/>
        <v>258847181.73999983</v>
      </c>
      <c r="S5" s="112">
        <f t="shared" si="2"/>
        <v>218089.24</v>
      </c>
      <c r="T5" s="112">
        <f t="shared" si="2"/>
        <v>6296338.9000000004</v>
      </c>
      <c r="U5" s="112">
        <f t="shared" si="2"/>
        <v>1051928.99</v>
      </c>
      <c r="V5" s="112">
        <f t="shared" si="2"/>
        <v>83234.460000000006</v>
      </c>
      <c r="W5" s="112">
        <f t="shared" si="2"/>
        <v>32334334.320000004</v>
      </c>
      <c r="X5" s="112">
        <f t="shared" si="2"/>
        <v>12735419.859999999</v>
      </c>
      <c r="Y5" s="113">
        <f t="shared" si="2"/>
        <v>19135667.488783751</v>
      </c>
      <c r="Z5" s="113">
        <f t="shared" si="2"/>
        <v>4446149.4843667205</v>
      </c>
      <c r="AA5" s="113">
        <f t="shared" si="2"/>
        <v>4446129.2743667206</v>
      </c>
      <c r="AB5" s="113">
        <f t="shared" si="2"/>
        <v>4955167.6729155704</v>
      </c>
      <c r="AC5" s="113">
        <f t="shared" si="2"/>
        <v>2894315.4096374097</v>
      </c>
      <c r="AD5" s="113">
        <f t="shared" si="2"/>
        <v>84878.715585330036</v>
      </c>
      <c r="AE5" s="113">
        <f t="shared" si="2"/>
        <v>9107457.4799029194</v>
      </c>
      <c r="AF5" s="113">
        <f t="shared" si="2"/>
        <v>88170757.300000012</v>
      </c>
      <c r="AG5" s="114">
        <f t="shared" si="2"/>
        <v>26646295.679999985</v>
      </c>
      <c r="AH5" s="114">
        <f t="shared" si="2"/>
        <v>15041057.409999996</v>
      </c>
      <c r="AI5" s="113">
        <f>SUM(AI6:AI213)</f>
        <v>24501972.821896799</v>
      </c>
      <c r="AJ5" s="113">
        <f t="shared" si="2"/>
        <v>8772830.7271880992</v>
      </c>
      <c r="AK5" s="113">
        <f t="shared" si="2"/>
        <v>77663.538806669909</v>
      </c>
      <c r="AL5" s="113">
        <f t="shared" si="2"/>
        <v>8334886.0021084202</v>
      </c>
      <c r="AM5" s="113">
        <f t="shared" si="2"/>
        <v>218089.24</v>
      </c>
      <c r="AN5" s="113">
        <f t="shared" si="2"/>
        <v>1051928.99</v>
      </c>
      <c r="AO5" s="113">
        <f t="shared" si="2"/>
        <v>6296338.9000000004</v>
      </c>
      <c r="AP5" s="115">
        <f t="shared" si="2"/>
        <v>275325115.27611005</v>
      </c>
      <c r="AQ5" s="115">
        <f t="shared" si="2"/>
        <v>94636074.096350029</v>
      </c>
      <c r="AR5" s="115">
        <f t="shared" si="2"/>
        <v>881702.55369270244</v>
      </c>
      <c r="AS5" s="115">
        <f t="shared" si="2"/>
        <v>22042563.842317566</v>
      </c>
      <c r="AT5" s="114">
        <f>SUM(AT6:AT214)</f>
        <v>498537600</v>
      </c>
      <c r="AU5" s="113">
        <f>SUM(AU6:AU214)</f>
        <v>63875700</v>
      </c>
      <c r="AV5" s="113">
        <f t="shared" ref="AV5:BL5" si="3">SUM(AV6:AV214)</f>
        <v>48413900</v>
      </c>
      <c r="AW5" s="115">
        <f t="shared" si="3"/>
        <v>628700</v>
      </c>
      <c r="AX5" s="115">
        <f t="shared" si="3"/>
        <v>53454167.509999998</v>
      </c>
      <c r="AY5" s="114">
        <f t="shared" si="3"/>
        <v>74192.289999999994</v>
      </c>
      <c r="AZ5" s="114">
        <f t="shared" si="3"/>
        <v>-220001.16</v>
      </c>
      <c r="BA5" s="114">
        <f t="shared" si="3"/>
        <v>1786132.3199999996</v>
      </c>
      <c r="BB5" s="114">
        <f t="shared" si="3"/>
        <v>12201.02</v>
      </c>
      <c r="BC5" s="114">
        <f t="shared" si="3"/>
        <v>1006.93</v>
      </c>
      <c r="BD5" s="114">
        <f t="shared" si="3"/>
        <v>8656.4599999999991</v>
      </c>
      <c r="BE5" s="114">
        <f t="shared" si="3"/>
        <v>84092.43</v>
      </c>
      <c r="BF5" s="114">
        <f t="shared" si="3"/>
        <v>28858.68</v>
      </c>
      <c r="BG5" s="114">
        <f t="shared" si="3"/>
        <v>0</v>
      </c>
      <c r="BH5" s="114">
        <f t="shared" si="3"/>
        <v>327.42</v>
      </c>
      <c r="BI5" s="114">
        <f t="shared" si="3"/>
        <v>-2197.79</v>
      </c>
      <c r="BJ5" s="114">
        <f t="shared" si="3"/>
        <v>5110.6899999999996</v>
      </c>
      <c r="BK5" s="114">
        <f t="shared" si="3"/>
        <v>220001.16</v>
      </c>
      <c r="BL5" s="114">
        <f t="shared" si="3"/>
        <v>77527.16</v>
      </c>
      <c r="BM5" s="9">
        <f t="shared" ref="BM5:BM67" si="4">SUM(Y5:AF5)+SUM(AI5:BL5)</f>
        <v>1242365663.9340291</v>
      </c>
      <c r="BN5" s="9">
        <f>SUM(BN6:BN214)</f>
        <v>1060719993.7738855</v>
      </c>
      <c r="BO5" s="9">
        <f t="shared" ref="BO5:BS5" si="5">SUM(BO6:BO214)</f>
        <v>180375986.08205858</v>
      </c>
      <c r="BP5" s="9">
        <f t="shared" si="5"/>
        <v>1049682.9180847027</v>
      </c>
      <c r="BQ5" s="9">
        <f t="shared" si="5"/>
        <v>220001.16</v>
      </c>
      <c r="BR5" s="9">
        <f t="shared" si="5"/>
        <v>1242365663.9340286</v>
      </c>
      <c r="BS5" s="142">
        <f t="shared" si="5"/>
        <v>1024145694.4914508</v>
      </c>
      <c r="BT5" s="65"/>
      <c r="BU5" s="142">
        <f t="shared" ref="BU5:BY5" si="6">SUM(BU6:BU214)</f>
        <v>1.0000000000000004</v>
      </c>
      <c r="BV5" s="173">
        <f>SUM(BV6:BV214)</f>
        <v>171516971.73487055</v>
      </c>
      <c r="BW5" s="173">
        <f t="shared" si="6"/>
        <v>1.0000000000000004</v>
      </c>
      <c r="BX5" s="174">
        <f t="shared" si="6"/>
        <v>966581.26927803247</v>
      </c>
      <c r="BY5" s="174">
        <f t="shared" si="6"/>
        <v>1</v>
      </c>
      <c r="BZ5" s="4"/>
      <c r="CA5" s="4"/>
      <c r="CB5" s="4"/>
      <c r="CC5" s="4"/>
      <c r="CD5" s="4"/>
      <c r="CE5" s="4"/>
      <c r="CF5" s="4"/>
      <c r="CG5" s="9">
        <f>SUM(CG6:CG213)</f>
        <v>309752196.97311181</v>
      </c>
      <c r="CH5" s="9">
        <f>SUM(CH6:CH213)</f>
        <v>127791448.6790767</v>
      </c>
      <c r="CI5" s="9"/>
      <c r="CJ5" s="9"/>
      <c r="CK5" s="9"/>
      <c r="CL5" s="9"/>
      <c r="CM5" s="4"/>
      <c r="CN5" s="9"/>
      <c r="CO5" s="9"/>
      <c r="CP5" s="9"/>
      <c r="CQ5" s="9"/>
      <c r="CR5" s="9"/>
      <c r="CS5" s="9"/>
      <c r="CT5" s="9"/>
      <c r="CU5" s="9"/>
      <c r="CV5" s="9"/>
      <c r="CW5" s="9"/>
      <c r="CX5" s="4"/>
    </row>
    <row r="6" spans="1:104" x14ac:dyDescent="0.35">
      <c r="A6" s="143">
        <v>1</v>
      </c>
      <c r="B6" s="116" t="s">
        <v>454</v>
      </c>
      <c r="C6" s="144">
        <v>11442966.316608325</v>
      </c>
      <c r="D6" s="144">
        <v>1192698</v>
      </c>
      <c r="E6" s="144">
        <v>278295.32</v>
      </c>
      <c r="F6" s="145">
        <f>D6+E6</f>
        <v>1470993.32</v>
      </c>
      <c r="G6" s="144"/>
      <c r="H6" s="144"/>
      <c r="I6" s="145"/>
      <c r="J6" s="144">
        <v>257725.82</v>
      </c>
      <c r="K6" s="144">
        <v>39056.29</v>
      </c>
      <c r="L6" s="145">
        <f>J6+K6</f>
        <v>296782.11</v>
      </c>
      <c r="M6" s="146">
        <v>110699.59</v>
      </c>
      <c r="N6" s="146">
        <v>138983.28</v>
      </c>
      <c r="O6" s="145">
        <f>M6+N6</f>
        <v>249682.87</v>
      </c>
      <c r="P6" s="144">
        <v>687360.51</v>
      </c>
      <c r="Q6" s="144">
        <v>862978.23</v>
      </c>
      <c r="R6" s="147">
        <f>P6+Q6</f>
        <v>1550338.74</v>
      </c>
      <c r="S6" s="117">
        <v>0</v>
      </c>
      <c r="T6" s="117">
        <v>0</v>
      </c>
      <c r="U6" s="146">
        <v>0</v>
      </c>
      <c r="V6" s="146">
        <v>0</v>
      </c>
      <c r="W6" s="4"/>
      <c r="X6" s="4"/>
      <c r="Y6" s="4"/>
      <c r="Z6" s="4"/>
      <c r="AA6" s="4"/>
      <c r="AB6" s="4"/>
      <c r="AC6" s="4"/>
      <c r="AD6" s="4"/>
      <c r="AE6" s="4"/>
      <c r="AF6" s="118">
        <f>L6</f>
        <v>296782.11</v>
      </c>
      <c r="AG6" s="112">
        <f>M6</f>
        <v>110699.59</v>
      </c>
      <c r="AH6" s="112">
        <f>N6</f>
        <v>138983.28</v>
      </c>
      <c r="AI6" s="10">
        <f>(AG6*0.565352)+(AH6*0.627445)</f>
        <v>149788.59872528</v>
      </c>
      <c r="AJ6" s="10">
        <f>(AG6*0.232847)+(AH6*0.170754)</f>
        <v>49508.018425849994</v>
      </c>
      <c r="AK6" s="10">
        <f>(AG6*0.001863)+(AH6*0.001863)</f>
        <v>465.15918681000005</v>
      </c>
      <c r="AL6" s="10">
        <f>(AG6*0.199938)+(AH6*0.199938)</f>
        <v>49921.093662059997</v>
      </c>
      <c r="AM6" s="10">
        <f>S6</f>
        <v>0</v>
      </c>
      <c r="AN6" s="9">
        <f>U6</f>
        <v>0</v>
      </c>
      <c r="AO6" s="10">
        <f>T6</f>
        <v>0</v>
      </c>
      <c r="AP6" s="66">
        <f>(((D6/0.12855)-P6)*0.09105)+(((E6/0.12855)-Q6)*0.10105)</f>
        <v>913742.75823902502</v>
      </c>
      <c r="AQ6" s="66">
        <f>(((D6/0.12855)-P6)*0.0322)+(((E6/0.12855)-Q6)*0.0322)</f>
        <v>318542.607966788</v>
      </c>
      <c r="AR6" s="66">
        <f>(((D6/0.12855)-P6)*0.0003)+(((E6/0.12855)-Q6)*0.0003)</f>
        <v>2967.7882729824969</v>
      </c>
      <c r="AS6" s="66">
        <f>(((D6/0.12855)-P6)*0.0075)+(((E6/0.12855)-Q6)*0.0075)</f>
        <v>74194.706824562425</v>
      </c>
      <c r="AT6" s="66"/>
      <c r="AU6" s="4"/>
      <c r="AV6" s="4"/>
      <c r="AW6" s="4"/>
      <c r="AX6" s="4"/>
      <c r="AY6" s="4"/>
      <c r="AZ6" s="4"/>
      <c r="BA6" s="4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9">
        <f t="shared" si="4"/>
        <v>1855912.8413033579</v>
      </c>
      <c r="BN6" s="9">
        <f>Y6+AE6+AI6+AL6+AM6+AN6+AO6+AP6+AQ6+AU6+AV6+AW6+AY6+AZ6+BA6+BB6+BE6+BF6+BG6+BI6+Z6+AA6+BC6</f>
        <v>1431995.058593153</v>
      </c>
      <c r="BO6" s="9">
        <f>AB6+AC6+AF6+AJ6+AS6+AX6+BD6+BL6</f>
        <v>420484.83525041235</v>
      </c>
      <c r="BP6" s="9">
        <f>AD6+AK6+AR6+BH6+BJ6</f>
        <v>3432.9474597924968</v>
      </c>
      <c r="BQ6" s="10">
        <f>BK6</f>
        <v>0</v>
      </c>
      <c r="BR6" s="9">
        <f>SUM(BN6:BQ6)</f>
        <v>1855912.8413033579</v>
      </c>
      <c r="BS6" s="142">
        <f>Y6+Z6+AA6+AE6+AO6+AP6+AQ6+AT6+AU6+AV6+AW6</f>
        <v>1232285.3662058129</v>
      </c>
      <c r="BT6" s="83">
        <f>ROUND(BS6,0)</f>
        <v>1232285</v>
      </c>
      <c r="BU6" s="175">
        <f>BS6/$BS$5</f>
        <v>1.203232482286337E-3</v>
      </c>
      <c r="BV6" s="173">
        <f>AB6+AC6+AF6+AX6</f>
        <v>296782.11</v>
      </c>
      <c r="BW6" s="176">
        <f>BV6/$BV$5</f>
        <v>1.7303366949526324E-3</v>
      </c>
      <c r="BX6" s="177">
        <f>AD6</f>
        <v>0</v>
      </c>
      <c r="BY6" s="178">
        <f>BX6/$BX$5</f>
        <v>0</v>
      </c>
      <c r="BZ6" s="4"/>
      <c r="CA6" s="4"/>
      <c r="CB6" s="4"/>
      <c r="CC6" s="4"/>
      <c r="CD6" s="4"/>
      <c r="CE6" s="4"/>
      <c r="CF6" s="4"/>
      <c r="CG6" s="126">
        <f>(D6*0.708285)+(E6*0.708285)</f>
        <v>1041882.5036562001</v>
      </c>
      <c r="CH6" s="126">
        <f>(D6*0.291715)+(E6*0.291715)</f>
        <v>429110.81634379999</v>
      </c>
      <c r="CI6" s="126"/>
      <c r="CJ6" s="126"/>
      <c r="CK6" s="9"/>
      <c r="CL6" s="9"/>
      <c r="CM6" s="127"/>
      <c r="CN6" s="9"/>
      <c r="CO6" s="9"/>
      <c r="CP6" s="9"/>
      <c r="CQ6" s="126"/>
      <c r="CR6" s="126"/>
      <c r="CS6" s="126"/>
      <c r="CT6" s="126"/>
      <c r="CU6" s="126"/>
      <c r="CV6" s="9"/>
      <c r="CW6" s="9"/>
      <c r="CX6" s="127"/>
      <c r="CY6" s="67"/>
      <c r="CZ6" s="67"/>
    </row>
    <row r="7" spans="1:104" x14ac:dyDescent="0.35">
      <c r="A7" s="143">
        <v>2</v>
      </c>
      <c r="B7" s="116" t="s">
        <v>455</v>
      </c>
      <c r="C7" s="144">
        <v>12712806.612213148</v>
      </c>
      <c r="D7" s="144">
        <v>1206464.3600000001</v>
      </c>
      <c r="E7" s="144">
        <v>427766.93</v>
      </c>
      <c r="F7" s="145">
        <f t="shared" ref="F7:F70" si="7">D7+E7</f>
        <v>1634231.29</v>
      </c>
      <c r="G7" s="144"/>
      <c r="H7" s="144"/>
      <c r="I7" s="145"/>
      <c r="J7" s="144">
        <v>257534.98</v>
      </c>
      <c r="K7" s="144">
        <v>92672.37</v>
      </c>
      <c r="L7" s="145">
        <f t="shared" ref="L7:L70" si="8">J7+K7</f>
        <v>350207.35</v>
      </c>
      <c r="M7" s="146">
        <v>128957.66</v>
      </c>
      <c r="N7" s="146">
        <v>38425.040000000001</v>
      </c>
      <c r="O7" s="145">
        <f t="shared" ref="O7:O70" si="9">M7+N7</f>
        <v>167382.70000000001</v>
      </c>
      <c r="P7" s="144">
        <v>800729.51</v>
      </c>
      <c r="Q7" s="144">
        <v>238590.25</v>
      </c>
      <c r="R7" s="147">
        <f t="shared" ref="R7:R70" si="10">P7+Q7</f>
        <v>1039319.76</v>
      </c>
      <c r="S7" s="117">
        <v>0</v>
      </c>
      <c r="T7" s="117">
        <v>0</v>
      </c>
      <c r="U7" s="146">
        <v>0</v>
      </c>
      <c r="V7" s="146">
        <v>0</v>
      </c>
      <c r="W7" s="4"/>
      <c r="X7" s="4"/>
      <c r="Y7" s="4"/>
      <c r="Z7" s="4"/>
      <c r="AA7" s="4"/>
      <c r="AB7" s="4"/>
      <c r="AC7" s="4"/>
      <c r="AD7" s="4"/>
      <c r="AE7" s="4"/>
      <c r="AF7" s="118">
        <f t="shared" ref="AF7:AH70" si="11">L7</f>
        <v>350207.35</v>
      </c>
      <c r="AG7" s="112">
        <f t="shared" si="11"/>
        <v>128957.66</v>
      </c>
      <c r="AH7" s="112">
        <f t="shared" si="11"/>
        <v>38425.040000000001</v>
      </c>
      <c r="AI7" s="10">
        <f t="shared" ref="AI7:AI70" si="12">(AG7*0.565352)+(AH7*0.627445)</f>
        <v>97016.070219120011</v>
      </c>
      <c r="AJ7" s="10">
        <f t="shared" ref="AJ7:AJ70" si="13">(AG7*0.232847)+(AH7*0.170754)</f>
        <v>36588.633538180002</v>
      </c>
      <c r="AK7" s="10">
        <f t="shared" ref="AK7:AK70" si="14">(AG7*0.001863)+(AH7*0.001863)</f>
        <v>311.83397009999999</v>
      </c>
      <c r="AL7" s="10">
        <f t="shared" ref="AL7:AL70" si="15">(AG7*0.199938)+(AH7*0.199938)</f>
        <v>33466.162272599999</v>
      </c>
      <c r="AM7" s="10">
        <f t="shared" ref="AM7:AM70" si="16">S7</f>
        <v>0</v>
      </c>
      <c r="AN7" s="9">
        <f t="shared" ref="AN7:AN70" si="17">U7</f>
        <v>0</v>
      </c>
      <c r="AO7" s="10">
        <f t="shared" ref="AO7:AO70" si="18">T7</f>
        <v>0</v>
      </c>
      <c r="AP7" s="66">
        <f t="shared" ref="AP7:AP70" si="19">(((D7/0.12855)-P7)*0.09105)+(((E7/0.12855)-Q7)*0.10105)</f>
        <v>1093761.3826674416</v>
      </c>
      <c r="AQ7" s="66">
        <f t="shared" ref="AQ7:AQ70" si="20">(((D7/0.12855)-P7)*0.0322)+(((E7/0.12855)-Q7)*0.0322)</f>
        <v>375886.27664126339</v>
      </c>
      <c r="AR7" s="66">
        <f t="shared" ref="AR7:AR70" si="21">(((D7/0.12855)-P7)*0.0003)+(((E7/0.12855)-Q7)*0.0003)</f>
        <v>3502.0460556639446</v>
      </c>
      <c r="AS7" s="66">
        <f t="shared" ref="AS7:AS70" si="22">(((D7/0.12855)-P7)*0.0075)+(((E7/0.12855)-Q7)*0.0075)</f>
        <v>87551.1513915986</v>
      </c>
      <c r="AT7" s="66"/>
      <c r="AU7" s="4"/>
      <c r="AV7" s="4"/>
      <c r="AW7" s="4"/>
      <c r="AX7" s="4"/>
      <c r="AY7" s="4"/>
      <c r="AZ7" s="4"/>
      <c r="BA7" s="4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9">
        <f t="shared" si="4"/>
        <v>2078290.9067559675</v>
      </c>
      <c r="BN7" s="9">
        <f>Y7+AE7+AI7+AL7+AM7+AN7+AO7+AP7+AQ7+AU7+AV7+AW7+AY7+AZ7+BA7+BB7+BE7+BF7+BG7+BI7+Z7+AA7+BC7</f>
        <v>1600129.891800425</v>
      </c>
      <c r="BO7" s="9">
        <f t="shared" ref="BO7:BO70" si="23">AB7+AC7+AF7+AJ7+AS7+AX7+BD7+BL7</f>
        <v>474347.13492977864</v>
      </c>
      <c r="BP7" s="9">
        <f t="shared" ref="BP7:BP70" si="24">AD7+AK7+AR7+BH7+BJ7</f>
        <v>3813.8800257639446</v>
      </c>
      <c r="BQ7" s="10">
        <f t="shared" ref="BQ7:BQ70" si="25">BK7</f>
        <v>0</v>
      </c>
      <c r="BR7" s="9">
        <f t="shared" ref="BR7:BR70" si="26">SUM(BN7:BQ7)</f>
        <v>2078290.9067559675</v>
      </c>
      <c r="BS7" s="142">
        <f>Y7+Z7+AA7+AE7+AO7+AP7+AQ7+AT7+AU7+AV7+AW7</f>
        <v>1469647.659308705</v>
      </c>
      <c r="BT7" s="83">
        <f t="shared" ref="BT7:BT70" si="27">ROUND(BS7,0)</f>
        <v>1469648</v>
      </c>
      <c r="BU7" s="175">
        <f t="shared" ref="BU7:BU70" si="28">BS7/$BS$5</f>
        <v>1.4349986210101409E-3</v>
      </c>
      <c r="BV7" s="173">
        <f t="shared" ref="BV7:BV70" si="29">AB7+AC7+AF7+AX7</f>
        <v>350207.35</v>
      </c>
      <c r="BW7" s="176">
        <f t="shared" ref="BW7:BW70" si="30">BV7/$BV$5</f>
        <v>2.0418233044677786E-3</v>
      </c>
      <c r="BX7" s="177">
        <f t="shared" ref="BX7:BX70" si="31">AD7</f>
        <v>0</v>
      </c>
      <c r="BY7" s="178">
        <f t="shared" ref="BY7:BY70" si="32">BX7/$BX$5</f>
        <v>0</v>
      </c>
      <c r="BZ7" s="4"/>
      <c r="CA7" s="4"/>
      <c r="CB7" s="4"/>
      <c r="CC7" s="4"/>
      <c r="CD7" s="4"/>
      <c r="CE7" s="4"/>
      <c r="CF7" s="4"/>
      <c r="CG7" s="126">
        <f t="shared" ref="CG7:CG70" si="33">(D7*0.708285)+(E7*0.708285)</f>
        <v>1157501.5092376501</v>
      </c>
      <c r="CH7" s="126">
        <f t="shared" ref="CH7:CH70" si="34">(D7*0.291715)+(E7*0.291715)</f>
        <v>476729.78076235007</v>
      </c>
      <c r="CI7" s="126"/>
      <c r="CJ7" s="126"/>
      <c r="CK7" s="9"/>
      <c r="CL7" s="9"/>
      <c r="CM7" s="127"/>
      <c r="CN7" s="9"/>
      <c r="CO7" s="9"/>
      <c r="CP7" s="9"/>
      <c r="CQ7" s="126"/>
      <c r="CR7" s="126"/>
      <c r="CS7" s="126"/>
      <c r="CT7" s="126"/>
      <c r="CU7" s="126"/>
      <c r="CV7" s="9"/>
      <c r="CW7" s="9"/>
      <c r="CX7" s="127"/>
      <c r="CY7" s="67"/>
      <c r="CZ7" s="67"/>
    </row>
    <row r="8" spans="1:104" x14ac:dyDescent="0.35">
      <c r="A8" s="143">
        <v>3</v>
      </c>
      <c r="B8" s="116" t="s">
        <v>456</v>
      </c>
      <c r="C8" s="144">
        <v>14589427.148969274</v>
      </c>
      <c r="D8" s="144">
        <v>1424529.02</v>
      </c>
      <c r="E8" s="144">
        <v>450941.84</v>
      </c>
      <c r="F8" s="145">
        <f t="shared" si="7"/>
        <v>1875470.86</v>
      </c>
      <c r="G8" s="144"/>
      <c r="H8" s="144"/>
      <c r="I8" s="145"/>
      <c r="J8" s="144">
        <v>308020.57</v>
      </c>
      <c r="K8" s="144">
        <v>97135.97</v>
      </c>
      <c r="L8" s="145">
        <f t="shared" si="8"/>
        <v>405156.54000000004</v>
      </c>
      <c r="M8" s="146">
        <v>131122.82999999999</v>
      </c>
      <c r="N8" s="146">
        <v>43492.47</v>
      </c>
      <c r="O8" s="145">
        <f t="shared" si="9"/>
        <v>174615.3</v>
      </c>
      <c r="P8" s="144">
        <v>814175.39</v>
      </c>
      <c r="Q8" s="144">
        <v>270055.69</v>
      </c>
      <c r="R8" s="147">
        <f t="shared" si="10"/>
        <v>1084231.08</v>
      </c>
      <c r="S8" s="117">
        <v>0</v>
      </c>
      <c r="T8" s="117">
        <v>0</v>
      </c>
      <c r="U8" s="146">
        <v>0</v>
      </c>
      <c r="V8" s="146">
        <v>0</v>
      </c>
      <c r="W8" s="4"/>
      <c r="X8" s="4"/>
      <c r="Y8" s="4"/>
      <c r="Z8" s="4"/>
      <c r="AA8" s="4"/>
      <c r="AB8" s="4"/>
      <c r="AC8" s="4"/>
      <c r="AD8" s="4"/>
      <c r="AE8" s="4"/>
      <c r="AF8" s="118">
        <f t="shared" si="11"/>
        <v>405156.54000000004</v>
      </c>
      <c r="AG8" s="112">
        <f t="shared" si="11"/>
        <v>131122.82999999999</v>
      </c>
      <c r="AH8" s="112">
        <f t="shared" si="11"/>
        <v>43492.47</v>
      </c>
      <c r="AI8" s="10">
        <f t="shared" si="12"/>
        <v>101419.68702530999</v>
      </c>
      <c r="AJ8" s="10">
        <f t="shared" si="13"/>
        <v>37958.070819389999</v>
      </c>
      <c r="AK8" s="10">
        <f t="shared" si="14"/>
        <v>325.3083039</v>
      </c>
      <c r="AL8" s="10">
        <f t="shared" si="15"/>
        <v>34912.2338514</v>
      </c>
      <c r="AM8" s="10">
        <f t="shared" si="16"/>
        <v>0</v>
      </c>
      <c r="AN8" s="9">
        <f t="shared" si="17"/>
        <v>0</v>
      </c>
      <c r="AO8" s="10">
        <f t="shared" si="18"/>
        <v>0</v>
      </c>
      <c r="AP8" s="66">
        <f t="shared" si="19"/>
        <v>1262026.6459186645</v>
      </c>
      <c r="AQ8" s="66">
        <f t="shared" si="20"/>
        <v>434867.31342081056</v>
      </c>
      <c r="AR8" s="66">
        <f t="shared" si="21"/>
        <v>4051.5588206907814</v>
      </c>
      <c r="AS8" s="66">
        <f t="shared" si="22"/>
        <v>101288.97051726954</v>
      </c>
      <c r="AT8" s="66"/>
      <c r="AU8" s="4"/>
      <c r="AV8" s="4"/>
      <c r="AW8" s="4"/>
      <c r="AX8" s="4"/>
      <c r="AY8" s="4"/>
      <c r="AZ8" s="4"/>
      <c r="BA8" s="4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9">
        <f t="shared" si="4"/>
        <v>2382006.3286774354</v>
      </c>
      <c r="BN8" s="9">
        <f t="shared" ref="BN8:BN71" si="35">Y8+AE8+AI8+AL8+AM8+AN8+AO8+AP8+AQ8+AU8+AV8+AW8+AY8+AZ8+BA8+BB8+BE8+BF8+BG8+BI8+Z8+AA8+BC8</f>
        <v>1833225.880216185</v>
      </c>
      <c r="BO8" s="9">
        <f t="shared" si="23"/>
        <v>544403.58133665961</v>
      </c>
      <c r="BP8" s="9">
        <f t="shared" si="24"/>
        <v>4376.8671245907817</v>
      </c>
      <c r="BQ8" s="10">
        <f t="shared" si="25"/>
        <v>0</v>
      </c>
      <c r="BR8" s="9">
        <f t="shared" si="26"/>
        <v>2382006.3286774349</v>
      </c>
      <c r="BS8" s="142">
        <f t="shared" ref="BS8:BS71" si="36">Y8+Z8+AA8+AE8+AO8+AP8+AQ8+AT8+AU8+AV8+AW8</f>
        <v>1696893.959339475</v>
      </c>
      <c r="BT8" s="83">
        <f t="shared" si="27"/>
        <v>1696894</v>
      </c>
      <c r="BU8" s="175">
        <f t="shared" si="28"/>
        <v>1.6568872656171089E-3</v>
      </c>
      <c r="BV8" s="173">
        <f t="shared" si="29"/>
        <v>405156.54000000004</v>
      </c>
      <c r="BW8" s="176">
        <f t="shared" si="30"/>
        <v>2.3621950405367902E-3</v>
      </c>
      <c r="BX8" s="177">
        <f t="shared" si="31"/>
        <v>0</v>
      </c>
      <c r="BY8" s="178">
        <f t="shared" si="32"/>
        <v>0</v>
      </c>
      <c r="BZ8" s="4"/>
      <c r="CA8" s="4"/>
      <c r="CB8" s="4"/>
      <c r="CC8" s="4"/>
      <c r="CD8" s="4"/>
      <c r="CE8" s="4"/>
      <c r="CF8" s="4"/>
      <c r="CG8" s="126">
        <f t="shared" si="33"/>
        <v>1328367.8780751</v>
      </c>
      <c r="CH8" s="126">
        <f t="shared" si="34"/>
        <v>547102.98192490009</v>
      </c>
      <c r="CI8" s="126"/>
      <c r="CJ8" s="126"/>
      <c r="CK8" s="9"/>
      <c r="CL8" s="9"/>
      <c r="CM8" s="127"/>
      <c r="CN8" s="9"/>
      <c r="CO8" s="9"/>
      <c r="CP8" s="9"/>
      <c r="CQ8" s="126"/>
      <c r="CR8" s="126"/>
      <c r="CS8" s="126"/>
      <c r="CT8" s="126"/>
      <c r="CU8" s="126"/>
      <c r="CV8" s="9"/>
      <c r="CW8" s="9"/>
      <c r="CX8" s="127"/>
      <c r="CY8" s="67"/>
      <c r="CZ8" s="67"/>
    </row>
    <row r="9" spans="1:104" x14ac:dyDescent="0.35">
      <c r="A9" s="143">
        <v>4</v>
      </c>
      <c r="B9" s="116" t="s">
        <v>457</v>
      </c>
      <c r="C9" s="144">
        <v>5775711.318553092</v>
      </c>
      <c r="D9" s="144">
        <v>548012.35</v>
      </c>
      <c r="E9" s="144">
        <v>194455.34</v>
      </c>
      <c r="F9" s="145">
        <f t="shared" si="7"/>
        <v>742467.69</v>
      </c>
      <c r="G9" s="144"/>
      <c r="H9" s="144"/>
      <c r="I9" s="145"/>
      <c r="J9" s="144">
        <v>118064.65</v>
      </c>
      <c r="K9" s="144">
        <v>36810.25</v>
      </c>
      <c r="L9" s="145">
        <f t="shared" si="8"/>
        <v>154874.9</v>
      </c>
      <c r="M9" s="146">
        <v>52761.06</v>
      </c>
      <c r="N9" s="146">
        <v>46009.09</v>
      </c>
      <c r="O9" s="145">
        <f t="shared" si="9"/>
        <v>98770.15</v>
      </c>
      <c r="P9" s="144">
        <v>327604.21999999997</v>
      </c>
      <c r="Q9" s="144">
        <v>285681.31</v>
      </c>
      <c r="R9" s="147">
        <f t="shared" si="10"/>
        <v>613285.53</v>
      </c>
      <c r="S9" s="117">
        <v>0</v>
      </c>
      <c r="T9" s="117">
        <v>0</v>
      </c>
      <c r="U9" s="146">
        <v>0</v>
      </c>
      <c r="V9" s="146">
        <v>0</v>
      </c>
      <c r="W9" s="4"/>
      <c r="X9" s="4"/>
      <c r="Y9" s="4"/>
      <c r="Z9" s="4"/>
      <c r="AA9" s="4"/>
      <c r="AB9" s="4"/>
      <c r="AC9" s="4"/>
      <c r="AD9" s="4"/>
      <c r="AE9" s="4"/>
      <c r="AF9" s="118">
        <f t="shared" si="11"/>
        <v>154874.9</v>
      </c>
      <c r="AG9" s="112">
        <f t="shared" si="11"/>
        <v>52761.06</v>
      </c>
      <c r="AH9" s="112">
        <f t="shared" si="11"/>
        <v>46009.09</v>
      </c>
      <c r="AI9" s="10">
        <f t="shared" si="12"/>
        <v>58696.744268169998</v>
      </c>
      <c r="AJ9" s="10">
        <f t="shared" si="13"/>
        <v>20141.490691679999</v>
      </c>
      <c r="AK9" s="10">
        <f t="shared" si="14"/>
        <v>184.00878944999999</v>
      </c>
      <c r="AL9" s="10">
        <f t="shared" si="15"/>
        <v>19747.906250699998</v>
      </c>
      <c r="AM9" s="10">
        <f t="shared" si="16"/>
        <v>0</v>
      </c>
      <c r="AN9" s="9">
        <f t="shared" si="17"/>
        <v>0</v>
      </c>
      <c r="AO9" s="10">
        <f t="shared" si="18"/>
        <v>0</v>
      </c>
      <c r="AP9" s="66">
        <f t="shared" si="19"/>
        <v>482308.88030754129</v>
      </c>
      <c r="AQ9" s="66">
        <f t="shared" si="20"/>
        <v>166230.11039140957</v>
      </c>
      <c r="AR9" s="66">
        <f t="shared" si="21"/>
        <v>1548.7277365659274</v>
      </c>
      <c r="AS9" s="66">
        <f t="shared" si="22"/>
        <v>38718.193414148191</v>
      </c>
      <c r="AT9" s="66"/>
      <c r="AU9" s="4"/>
      <c r="AV9" s="4"/>
      <c r="AW9" s="4"/>
      <c r="AX9" s="4"/>
      <c r="AY9" s="4"/>
      <c r="AZ9" s="4"/>
      <c r="BA9" s="4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9">
        <f t="shared" si="4"/>
        <v>942450.96184966504</v>
      </c>
      <c r="BN9" s="9">
        <f t="shared" si="35"/>
        <v>726983.64121782093</v>
      </c>
      <c r="BO9" s="9">
        <f t="shared" si="23"/>
        <v>213734.58410582819</v>
      </c>
      <c r="BP9" s="9">
        <f t="shared" si="24"/>
        <v>1732.7365260159274</v>
      </c>
      <c r="BQ9" s="10">
        <f t="shared" si="25"/>
        <v>0</v>
      </c>
      <c r="BR9" s="9">
        <f t="shared" si="26"/>
        <v>942450.96184966504</v>
      </c>
      <c r="BS9" s="142">
        <f t="shared" si="36"/>
        <v>648538.99069895083</v>
      </c>
      <c r="BT9" s="83">
        <f t="shared" si="27"/>
        <v>648539</v>
      </c>
      <c r="BU9" s="175">
        <f t="shared" si="28"/>
        <v>6.3324875961226295E-4</v>
      </c>
      <c r="BV9" s="173">
        <f t="shared" si="29"/>
        <v>154874.9</v>
      </c>
      <c r="BW9" s="176">
        <f t="shared" si="30"/>
        <v>9.0297128286175824E-4</v>
      </c>
      <c r="BX9" s="177">
        <f t="shared" si="31"/>
        <v>0</v>
      </c>
      <c r="BY9" s="178">
        <f t="shared" si="32"/>
        <v>0</v>
      </c>
      <c r="BZ9" s="4"/>
      <c r="CA9" s="4"/>
      <c r="CB9" s="4"/>
      <c r="CC9" s="4"/>
      <c r="CD9" s="4"/>
      <c r="CE9" s="4"/>
      <c r="CF9" s="4"/>
      <c r="CG9" s="126">
        <v>9</v>
      </c>
      <c r="CH9" s="126">
        <f t="shared" si="34"/>
        <v>216588.96218834998</v>
      </c>
      <c r="CI9" s="126"/>
      <c r="CJ9" s="126"/>
      <c r="CK9" s="9"/>
      <c r="CL9" s="9"/>
      <c r="CM9" s="127"/>
      <c r="CN9" s="9"/>
      <c r="CO9" s="9"/>
      <c r="CP9" s="9"/>
      <c r="CQ9" s="126"/>
      <c r="CR9" s="126"/>
      <c r="CS9" s="126"/>
      <c r="CT9" s="126"/>
      <c r="CU9" s="126"/>
      <c r="CV9" s="9"/>
      <c r="CW9" s="9"/>
      <c r="CX9" s="127"/>
      <c r="CY9" s="67"/>
      <c r="CZ9" s="67"/>
    </row>
    <row r="10" spans="1:104" x14ac:dyDescent="0.35">
      <c r="A10" s="143">
        <v>5</v>
      </c>
      <c r="B10" s="116" t="s">
        <v>458</v>
      </c>
      <c r="C10" s="144">
        <v>21869427.849085961</v>
      </c>
      <c r="D10" s="144">
        <v>2322429.5699999998</v>
      </c>
      <c r="E10" s="144">
        <v>488885.38</v>
      </c>
      <c r="F10" s="145">
        <f t="shared" si="7"/>
        <v>2811314.9499999997</v>
      </c>
      <c r="G10" s="144"/>
      <c r="H10" s="144"/>
      <c r="I10" s="145"/>
      <c r="J10" s="144">
        <v>491978.21</v>
      </c>
      <c r="K10" s="144">
        <v>103252.48</v>
      </c>
      <c r="L10" s="145">
        <f t="shared" si="8"/>
        <v>595230.69000000006</v>
      </c>
      <c r="M10" s="146">
        <v>268474.28999999998</v>
      </c>
      <c r="N10" s="146">
        <v>58195.03</v>
      </c>
      <c r="O10" s="145">
        <f t="shared" si="9"/>
        <v>326669.31999999995</v>
      </c>
      <c r="P10" s="144">
        <v>1667024.04</v>
      </c>
      <c r="Q10" s="144">
        <v>361348.73</v>
      </c>
      <c r="R10" s="147">
        <f t="shared" si="10"/>
        <v>2028372.77</v>
      </c>
      <c r="S10" s="117">
        <v>0</v>
      </c>
      <c r="T10" s="117">
        <v>0</v>
      </c>
      <c r="U10" s="146">
        <v>0</v>
      </c>
      <c r="V10" s="146">
        <v>0</v>
      </c>
      <c r="W10" s="4"/>
      <c r="X10" s="4"/>
      <c r="Y10" s="4"/>
      <c r="Z10" s="4"/>
      <c r="AA10" s="4"/>
      <c r="AB10" s="4"/>
      <c r="AC10" s="4"/>
      <c r="AD10" s="4"/>
      <c r="AE10" s="4"/>
      <c r="AF10" s="118">
        <f t="shared" si="11"/>
        <v>595230.69000000006</v>
      </c>
      <c r="AG10" s="112">
        <f t="shared" si="11"/>
        <v>268474.28999999998</v>
      </c>
      <c r="AH10" s="112">
        <f t="shared" si="11"/>
        <v>58195.03</v>
      </c>
      <c r="AI10" s="10">
        <f t="shared" si="12"/>
        <v>188296.65739842999</v>
      </c>
      <c r="AJ10" s="10">
        <f t="shared" si="13"/>
        <v>72450.467156250001</v>
      </c>
      <c r="AK10" s="10">
        <f t="shared" si="14"/>
        <v>608.58494315999997</v>
      </c>
      <c r="AL10" s="10">
        <f t="shared" si="15"/>
        <v>65313.610502159994</v>
      </c>
      <c r="AM10" s="10">
        <f t="shared" si="16"/>
        <v>0</v>
      </c>
      <c r="AN10" s="9">
        <f t="shared" si="17"/>
        <v>0</v>
      </c>
      <c r="AO10" s="10">
        <f t="shared" si="18"/>
        <v>0</v>
      </c>
      <c r="AP10" s="66">
        <f t="shared" si="19"/>
        <v>1840945.3345547053</v>
      </c>
      <c r="AQ10" s="66">
        <f t="shared" si="20"/>
        <v>638881.97354656784</v>
      </c>
      <c r="AR10" s="66">
        <f t="shared" si="21"/>
        <v>5952.3165237257881</v>
      </c>
      <c r="AS10" s="66">
        <f t="shared" si="22"/>
        <v>148807.91309314471</v>
      </c>
      <c r="AT10" s="66"/>
      <c r="AU10" s="4"/>
      <c r="AV10" s="4"/>
      <c r="AW10" s="4"/>
      <c r="AX10" s="4"/>
      <c r="AY10" s="4"/>
      <c r="AZ10" s="4"/>
      <c r="BA10" s="4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9">
        <f t="shared" si="4"/>
        <v>3556487.5477181431</v>
      </c>
      <c r="BN10" s="9">
        <f t="shared" si="35"/>
        <v>2733437.576001863</v>
      </c>
      <c r="BO10" s="9">
        <f t="shared" si="23"/>
        <v>816489.07024939475</v>
      </c>
      <c r="BP10" s="9">
        <f t="shared" si="24"/>
        <v>6560.9014668857881</v>
      </c>
      <c r="BQ10" s="10">
        <f t="shared" si="25"/>
        <v>0</v>
      </c>
      <c r="BR10" s="9">
        <f t="shared" si="26"/>
        <v>3556487.5477181431</v>
      </c>
      <c r="BS10" s="142">
        <f t="shared" si="36"/>
        <v>2479827.3081012731</v>
      </c>
      <c r="BT10" s="83">
        <f t="shared" si="27"/>
        <v>2479827</v>
      </c>
      <c r="BU10" s="175">
        <f t="shared" si="28"/>
        <v>2.4213618447448092E-3</v>
      </c>
      <c r="BV10" s="173">
        <f t="shared" si="29"/>
        <v>595230.69000000006</v>
      </c>
      <c r="BW10" s="176">
        <f t="shared" si="30"/>
        <v>3.470389454637192E-3</v>
      </c>
      <c r="BX10" s="177">
        <f t="shared" si="31"/>
        <v>0</v>
      </c>
      <c r="BY10" s="178">
        <f t="shared" si="32"/>
        <v>0</v>
      </c>
      <c r="BZ10" s="4"/>
      <c r="CA10" s="4"/>
      <c r="CB10" s="4"/>
      <c r="CC10" s="4"/>
      <c r="CD10" s="4"/>
      <c r="CE10" s="4"/>
      <c r="CF10" s="4"/>
      <c r="CG10" s="126">
        <f t="shared" si="33"/>
        <v>1991212.2093607499</v>
      </c>
      <c r="CH10" s="126">
        <f t="shared" si="34"/>
        <v>820102.74063924991</v>
      </c>
      <c r="CI10" s="126"/>
      <c r="CJ10" s="126"/>
      <c r="CK10" s="9"/>
      <c r="CL10" s="9"/>
      <c r="CM10" s="127"/>
      <c r="CN10" s="9"/>
      <c r="CO10" s="9"/>
      <c r="CP10" s="9"/>
      <c r="CQ10" s="126"/>
      <c r="CR10" s="126"/>
      <c r="CS10" s="126"/>
      <c r="CT10" s="126"/>
      <c r="CU10" s="126"/>
      <c r="CV10" s="9"/>
      <c r="CW10" s="9"/>
      <c r="CX10" s="127"/>
      <c r="CY10" s="67"/>
      <c r="CZ10" s="67"/>
    </row>
    <row r="11" spans="1:104" x14ac:dyDescent="0.35">
      <c r="A11" s="143">
        <v>6</v>
      </c>
      <c r="B11" s="116" t="s">
        <v>459</v>
      </c>
      <c r="C11" s="144">
        <v>9240103.2283158302</v>
      </c>
      <c r="D11" s="144">
        <v>942152.54</v>
      </c>
      <c r="E11" s="144">
        <v>245662.73</v>
      </c>
      <c r="F11" s="145">
        <f t="shared" si="7"/>
        <v>1187815.27</v>
      </c>
      <c r="G11" s="144"/>
      <c r="H11" s="144"/>
      <c r="I11" s="145"/>
      <c r="J11" s="144">
        <v>199437.94</v>
      </c>
      <c r="K11" s="144">
        <v>48222.58</v>
      </c>
      <c r="L11" s="145">
        <f t="shared" si="8"/>
        <v>247660.52000000002</v>
      </c>
      <c r="M11" s="146">
        <v>109698.5</v>
      </c>
      <c r="N11" s="146">
        <v>48899.18</v>
      </c>
      <c r="O11" s="145">
        <f t="shared" si="9"/>
        <v>158597.68</v>
      </c>
      <c r="P11" s="144">
        <v>681143.21</v>
      </c>
      <c r="Q11" s="144">
        <v>303627.90000000002</v>
      </c>
      <c r="R11" s="147">
        <f t="shared" si="10"/>
        <v>984771.11</v>
      </c>
      <c r="S11" s="117">
        <v>0</v>
      </c>
      <c r="T11" s="117">
        <v>0</v>
      </c>
      <c r="U11" s="146">
        <v>0</v>
      </c>
      <c r="V11" s="146">
        <v>0</v>
      </c>
      <c r="W11" s="4"/>
      <c r="X11" s="4"/>
      <c r="Y11" s="4"/>
      <c r="Z11" s="4"/>
      <c r="AA11" s="4"/>
      <c r="AB11" s="4"/>
      <c r="AC11" s="4"/>
      <c r="AD11" s="4"/>
      <c r="AE11" s="4"/>
      <c r="AF11" s="118">
        <f t="shared" si="11"/>
        <v>247660.52000000002</v>
      </c>
      <c r="AG11" s="112">
        <f t="shared" si="11"/>
        <v>109698.5</v>
      </c>
      <c r="AH11" s="112">
        <f t="shared" si="11"/>
        <v>48899.18</v>
      </c>
      <c r="AI11" s="10">
        <f t="shared" si="12"/>
        <v>92699.812367100007</v>
      </c>
      <c r="AJ11" s="10">
        <f t="shared" si="13"/>
        <v>33892.697211220002</v>
      </c>
      <c r="AK11" s="10">
        <f t="shared" si="14"/>
        <v>295.46747784000002</v>
      </c>
      <c r="AL11" s="10">
        <f t="shared" si="15"/>
        <v>31709.702943839999</v>
      </c>
      <c r="AM11" s="10">
        <f t="shared" si="16"/>
        <v>0</v>
      </c>
      <c r="AN11" s="9">
        <f t="shared" si="17"/>
        <v>0</v>
      </c>
      <c r="AO11" s="10">
        <f t="shared" si="18"/>
        <v>0</v>
      </c>
      <c r="AP11" s="66">
        <f t="shared" si="19"/>
        <v>767721.99664259038</v>
      </c>
      <c r="AQ11" s="66">
        <f t="shared" si="20"/>
        <v>265821.69420976978</v>
      </c>
      <c r="AR11" s="66">
        <f t="shared" si="21"/>
        <v>2476.5996354947492</v>
      </c>
      <c r="AS11" s="66">
        <f t="shared" si="22"/>
        <v>61914.990887368731</v>
      </c>
      <c r="AT11" s="66"/>
      <c r="AU11" s="4"/>
      <c r="AV11" s="4"/>
      <c r="AW11" s="4"/>
      <c r="AX11" s="4"/>
      <c r="AY11" s="4"/>
      <c r="AZ11" s="4"/>
      <c r="BA11" s="4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9">
        <f t="shared" si="4"/>
        <v>1504193.4813752237</v>
      </c>
      <c r="BN11" s="9">
        <f t="shared" si="35"/>
        <v>1157953.2061633002</v>
      </c>
      <c r="BO11" s="9">
        <f t="shared" si="23"/>
        <v>343468.20809858874</v>
      </c>
      <c r="BP11" s="9">
        <f t="shared" si="24"/>
        <v>2772.0671133347491</v>
      </c>
      <c r="BQ11" s="10">
        <f t="shared" si="25"/>
        <v>0</v>
      </c>
      <c r="BR11" s="9">
        <f t="shared" si="26"/>
        <v>1504193.4813752237</v>
      </c>
      <c r="BS11" s="142">
        <f t="shared" si="36"/>
        <v>1033543.6908523601</v>
      </c>
      <c r="BT11" s="83">
        <f t="shared" si="27"/>
        <v>1033544</v>
      </c>
      <c r="BU11" s="175">
        <f t="shared" si="28"/>
        <v>1.0091764252014709E-3</v>
      </c>
      <c r="BV11" s="173">
        <f t="shared" si="29"/>
        <v>247660.52000000002</v>
      </c>
      <c r="BW11" s="176">
        <f t="shared" si="30"/>
        <v>1.4439417714465685E-3</v>
      </c>
      <c r="BX11" s="177">
        <f t="shared" si="31"/>
        <v>0</v>
      </c>
      <c r="BY11" s="178">
        <f t="shared" si="32"/>
        <v>0</v>
      </c>
      <c r="BZ11" s="4"/>
      <c r="CA11" s="4"/>
      <c r="CB11" s="4"/>
      <c r="CC11" s="4"/>
      <c r="CD11" s="4"/>
      <c r="CE11" s="4"/>
      <c r="CF11" s="4"/>
      <c r="CG11" s="126">
        <f t="shared" si="33"/>
        <v>841311.73851195001</v>
      </c>
      <c r="CH11" s="126">
        <f t="shared" si="34"/>
        <v>346503.53148805001</v>
      </c>
      <c r="CI11" s="126"/>
      <c r="CJ11" s="126"/>
      <c r="CK11" s="9"/>
      <c r="CL11" s="9"/>
      <c r="CM11" s="127"/>
      <c r="CN11" s="9"/>
      <c r="CO11" s="9"/>
      <c r="CP11" s="9"/>
      <c r="CQ11" s="126"/>
      <c r="CR11" s="126"/>
      <c r="CS11" s="126"/>
      <c r="CT11" s="126"/>
      <c r="CU11" s="126"/>
      <c r="CV11" s="9"/>
      <c r="CW11" s="9"/>
      <c r="CX11" s="127"/>
      <c r="CY11" s="67"/>
      <c r="CZ11" s="67"/>
    </row>
    <row r="12" spans="1:104" x14ac:dyDescent="0.35">
      <c r="A12" s="143">
        <v>7</v>
      </c>
      <c r="B12" s="116" t="s">
        <v>460</v>
      </c>
      <c r="C12" s="144">
        <v>11937419.05873201</v>
      </c>
      <c r="D12" s="144">
        <v>1206012.68</v>
      </c>
      <c r="E12" s="144">
        <v>328542.53999999998</v>
      </c>
      <c r="F12" s="145">
        <f t="shared" si="7"/>
        <v>1534555.22</v>
      </c>
      <c r="G12" s="144"/>
      <c r="H12" s="144"/>
      <c r="I12" s="145"/>
      <c r="J12" s="144">
        <v>236601.46</v>
      </c>
      <c r="K12" s="144">
        <v>69025.070000000007</v>
      </c>
      <c r="L12" s="145">
        <f t="shared" si="8"/>
        <v>305626.53000000003</v>
      </c>
      <c r="M12" s="146">
        <v>240755.45</v>
      </c>
      <c r="N12" s="146">
        <v>41059.910000000003</v>
      </c>
      <c r="O12" s="145">
        <f t="shared" si="9"/>
        <v>281815.36</v>
      </c>
      <c r="P12" s="144">
        <v>1494912.39</v>
      </c>
      <c r="Q12" s="144">
        <v>254950.92</v>
      </c>
      <c r="R12" s="147">
        <f t="shared" si="10"/>
        <v>1749863.3099999998</v>
      </c>
      <c r="S12" s="117">
        <v>0</v>
      </c>
      <c r="T12" s="117">
        <v>0</v>
      </c>
      <c r="U12" s="146">
        <v>0</v>
      </c>
      <c r="V12" s="146">
        <v>0</v>
      </c>
      <c r="W12" s="4"/>
      <c r="X12" s="4"/>
      <c r="Y12" s="4"/>
      <c r="Z12" s="4"/>
      <c r="AA12" s="4"/>
      <c r="AB12" s="4"/>
      <c r="AC12" s="4"/>
      <c r="AD12" s="4"/>
      <c r="AE12" s="4"/>
      <c r="AF12" s="118">
        <f t="shared" si="11"/>
        <v>305626.53000000003</v>
      </c>
      <c r="AG12" s="112">
        <f t="shared" si="11"/>
        <v>240755.45</v>
      </c>
      <c r="AH12" s="112">
        <f t="shared" si="11"/>
        <v>41059.910000000003</v>
      </c>
      <c r="AI12" s="10">
        <f t="shared" si="12"/>
        <v>161874.41039834998</v>
      </c>
      <c r="AJ12" s="10">
        <f t="shared" si="13"/>
        <v>63070.328138290002</v>
      </c>
      <c r="AK12" s="10">
        <f t="shared" si="14"/>
        <v>525.0220156800001</v>
      </c>
      <c r="AL12" s="10">
        <f t="shared" si="15"/>
        <v>56345.599447680004</v>
      </c>
      <c r="AM12" s="10">
        <f t="shared" si="16"/>
        <v>0</v>
      </c>
      <c r="AN12" s="9">
        <f t="shared" si="17"/>
        <v>0</v>
      </c>
      <c r="AO12" s="10">
        <f t="shared" si="18"/>
        <v>0</v>
      </c>
      <c r="AP12" s="66">
        <f t="shared" si="19"/>
        <v>950585.00998342654</v>
      </c>
      <c r="AQ12" s="66">
        <f t="shared" si="20"/>
        <v>328039.29510917072</v>
      </c>
      <c r="AR12" s="66">
        <f t="shared" si="21"/>
        <v>3056.2667246196029</v>
      </c>
      <c r="AS12" s="66">
        <f t="shared" si="22"/>
        <v>76406.668115490073</v>
      </c>
      <c r="AT12" s="66"/>
      <c r="AU12" s="4"/>
      <c r="AV12" s="4"/>
      <c r="AW12" s="4"/>
      <c r="AX12" s="4"/>
      <c r="AY12" s="4"/>
      <c r="AZ12" s="4"/>
      <c r="BA12" s="4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9">
        <f t="shared" si="4"/>
        <v>1945529.1299327069</v>
      </c>
      <c r="BN12" s="9">
        <f t="shared" si="35"/>
        <v>1496844.3149386272</v>
      </c>
      <c r="BO12" s="9">
        <f t="shared" si="23"/>
        <v>445103.52625378006</v>
      </c>
      <c r="BP12" s="9">
        <f t="shared" si="24"/>
        <v>3581.288740299603</v>
      </c>
      <c r="BQ12" s="10">
        <f t="shared" si="25"/>
        <v>0</v>
      </c>
      <c r="BR12" s="9">
        <f t="shared" si="26"/>
        <v>1945529.1299327069</v>
      </c>
      <c r="BS12" s="142">
        <f t="shared" si="36"/>
        <v>1278624.3050925974</v>
      </c>
      <c r="BT12" s="83">
        <f t="shared" si="27"/>
        <v>1278624</v>
      </c>
      <c r="BU12" s="175">
        <f t="shared" si="28"/>
        <v>1.2484789146406659E-3</v>
      </c>
      <c r="BV12" s="173">
        <f t="shared" si="29"/>
        <v>305626.53000000003</v>
      </c>
      <c r="BW12" s="176">
        <f t="shared" si="30"/>
        <v>1.7819025540658149E-3</v>
      </c>
      <c r="BX12" s="177">
        <f t="shared" si="31"/>
        <v>0</v>
      </c>
      <c r="BY12" s="178">
        <f t="shared" si="32"/>
        <v>0</v>
      </c>
      <c r="BZ12" s="4"/>
      <c r="CA12" s="4"/>
      <c r="CB12" s="4"/>
      <c r="CC12" s="4"/>
      <c r="CD12" s="4"/>
      <c r="CE12" s="4"/>
      <c r="CF12" s="4"/>
      <c r="CG12" s="126">
        <f t="shared" si="33"/>
        <v>1086902.4439977</v>
      </c>
      <c r="CH12" s="126">
        <f t="shared" si="34"/>
        <v>447652.77600229997</v>
      </c>
      <c r="CI12" s="126"/>
      <c r="CJ12" s="126"/>
      <c r="CK12" s="9"/>
      <c r="CL12" s="9"/>
      <c r="CM12" s="127"/>
      <c r="CN12" s="9"/>
      <c r="CO12" s="9"/>
      <c r="CP12" s="9"/>
      <c r="CQ12" s="126"/>
      <c r="CR12" s="126"/>
      <c r="CS12" s="126"/>
      <c r="CT12" s="126"/>
      <c r="CU12" s="126"/>
      <c r="CV12" s="9"/>
      <c r="CW12" s="9"/>
      <c r="CX12" s="127"/>
      <c r="CY12" s="67"/>
      <c r="CZ12" s="67"/>
    </row>
    <row r="13" spans="1:104" x14ac:dyDescent="0.35">
      <c r="A13" s="143">
        <v>8</v>
      </c>
      <c r="B13" s="116" t="s">
        <v>461</v>
      </c>
      <c r="C13" s="144">
        <v>92888241.540256709</v>
      </c>
      <c r="D13" s="144">
        <v>8453128.9199999999</v>
      </c>
      <c r="E13" s="144">
        <v>3487654.53</v>
      </c>
      <c r="F13" s="145">
        <f t="shared" si="7"/>
        <v>11940783.449999999</v>
      </c>
      <c r="G13" s="144"/>
      <c r="H13" s="144"/>
      <c r="I13" s="145"/>
      <c r="J13" s="144">
        <v>1952655.85</v>
      </c>
      <c r="K13" s="144">
        <v>778684.58</v>
      </c>
      <c r="L13" s="145">
        <f t="shared" si="8"/>
        <v>2731340.43</v>
      </c>
      <c r="M13" s="146">
        <v>107776.32000000001</v>
      </c>
      <c r="N13" s="146">
        <v>189209.71</v>
      </c>
      <c r="O13" s="145">
        <f t="shared" si="9"/>
        <v>296986.03000000003</v>
      </c>
      <c r="P13" s="144">
        <v>669202.6</v>
      </c>
      <c r="Q13" s="144">
        <v>1174843.32</v>
      </c>
      <c r="R13" s="147">
        <f t="shared" si="10"/>
        <v>1844045.92</v>
      </c>
      <c r="S13" s="117">
        <v>0</v>
      </c>
      <c r="T13" s="117">
        <v>0</v>
      </c>
      <c r="U13" s="146">
        <v>0</v>
      </c>
      <c r="V13" s="146">
        <v>0</v>
      </c>
      <c r="W13" s="4"/>
      <c r="X13" s="4"/>
      <c r="Y13" s="4"/>
      <c r="Z13" s="4"/>
      <c r="AA13" s="4"/>
      <c r="AB13" s="4"/>
      <c r="AC13" s="4"/>
      <c r="AD13" s="4"/>
      <c r="AE13" s="4"/>
      <c r="AF13" s="118">
        <f t="shared" si="11"/>
        <v>2731340.43</v>
      </c>
      <c r="AG13" s="112">
        <f t="shared" si="11"/>
        <v>107776.32000000001</v>
      </c>
      <c r="AH13" s="112">
        <f t="shared" si="11"/>
        <v>189209.71</v>
      </c>
      <c r="AI13" s="10">
        <f t="shared" si="12"/>
        <v>179650.24455559</v>
      </c>
      <c r="AJ13" s="10">
        <f t="shared" si="13"/>
        <v>57403.707604380004</v>
      </c>
      <c r="AK13" s="10">
        <f t="shared" si="14"/>
        <v>553.28497388999995</v>
      </c>
      <c r="AL13" s="10">
        <f t="shared" si="15"/>
        <v>59378.792866140007</v>
      </c>
      <c r="AM13" s="10">
        <f t="shared" si="16"/>
        <v>0</v>
      </c>
      <c r="AN13" s="9">
        <f t="shared" si="17"/>
        <v>0</v>
      </c>
      <c r="AO13" s="10">
        <f t="shared" si="18"/>
        <v>0</v>
      </c>
      <c r="AP13" s="66">
        <f t="shared" si="19"/>
        <v>8549132.8148971871</v>
      </c>
      <c r="AQ13" s="66">
        <f t="shared" si="20"/>
        <v>2931623.0989722656</v>
      </c>
      <c r="AR13" s="66">
        <f t="shared" si="21"/>
        <v>27313.25868607701</v>
      </c>
      <c r="AS13" s="66">
        <f t="shared" si="22"/>
        <v>682831.46715192532</v>
      </c>
      <c r="AT13" s="66"/>
      <c r="AU13" s="4"/>
      <c r="AV13" s="4"/>
      <c r="AW13" s="4"/>
      <c r="AX13" s="4"/>
      <c r="AY13" s="4"/>
      <c r="AZ13" s="4"/>
      <c r="BA13" s="4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9">
        <f t="shared" si="4"/>
        <v>15219227.099707454</v>
      </c>
      <c r="BN13" s="9">
        <f t="shared" si="35"/>
        <v>11719784.951291181</v>
      </c>
      <c r="BO13" s="9">
        <f t="shared" si="23"/>
        <v>3471575.6047563055</v>
      </c>
      <c r="BP13" s="9">
        <f t="shared" si="24"/>
        <v>27866.54365996701</v>
      </c>
      <c r="BQ13" s="10">
        <f t="shared" si="25"/>
        <v>0</v>
      </c>
      <c r="BR13" s="9">
        <f t="shared" si="26"/>
        <v>15219227.099707453</v>
      </c>
      <c r="BS13" s="142">
        <f t="shared" si="36"/>
        <v>11480755.913869452</v>
      </c>
      <c r="BT13" s="83">
        <f t="shared" si="27"/>
        <v>11480756</v>
      </c>
      <c r="BU13" s="175">
        <f t="shared" si="28"/>
        <v>1.121008072935397E-2</v>
      </c>
      <c r="BV13" s="173">
        <f t="shared" si="29"/>
        <v>2731340.43</v>
      </c>
      <c r="BW13" s="176">
        <f t="shared" si="30"/>
        <v>1.5924607357352849E-2</v>
      </c>
      <c r="BX13" s="177">
        <f t="shared" si="31"/>
        <v>0</v>
      </c>
      <c r="BY13" s="178">
        <f t="shared" si="32"/>
        <v>0</v>
      </c>
      <c r="BZ13" s="4"/>
      <c r="CA13" s="4"/>
      <c r="CB13" s="4"/>
      <c r="CC13" s="4"/>
      <c r="CD13" s="4"/>
      <c r="CE13" s="4"/>
      <c r="CF13" s="4"/>
      <c r="CG13" s="126">
        <f t="shared" si="33"/>
        <v>8457477.8058832511</v>
      </c>
      <c r="CH13" s="126">
        <f t="shared" si="34"/>
        <v>3483305.64411675</v>
      </c>
      <c r="CI13" s="126"/>
      <c r="CJ13" s="126"/>
      <c r="CK13" s="9"/>
      <c r="CL13" s="9"/>
      <c r="CM13" s="127"/>
      <c r="CN13" s="9"/>
      <c r="CO13" s="9"/>
      <c r="CP13" s="9"/>
      <c r="CQ13" s="126"/>
      <c r="CR13" s="126"/>
      <c r="CS13" s="126"/>
      <c r="CT13" s="126"/>
      <c r="CU13" s="126"/>
      <c r="CV13" s="9"/>
      <c r="CW13" s="9"/>
      <c r="CX13" s="127"/>
      <c r="CY13" s="67"/>
      <c r="CZ13" s="67"/>
    </row>
    <row r="14" spans="1:104" x14ac:dyDescent="0.35">
      <c r="A14" s="143">
        <v>9</v>
      </c>
      <c r="B14" s="116" t="s">
        <v>462</v>
      </c>
      <c r="C14" s="144">
        <v>12635348.035783742</v>
      </c>
      <c r="D14" s="144">
        <v>1067477.8999999999</v>
      </c>
      <c r="E14" s="144">
        <v>556796.09</v>
      </c>
      <c r="F14" s="145">
        <f t="shared" si="7"/>
        <v>1624273.9899999998</v>
      </c>
      <c r="G14" s="144"/>
      <c r="H14" s="144"/>
      <c r="I14" s="145"/>
      <c r="J14" s="144">
        <v>220607.09</v>
      </c>
      <c r="K14" s="144">
        <v>111691.73</v>
      </c>
      <c r="L14" s="145">
        <f t="shared" si="8"/>
        <v>332298.82</v>
      </c>
      <c r="M14" s="146">
        <v>153061.70000000001</v>
      </c>
      <c r="N14" s="146">
        <v>97955.81</v>
      </c>
      <c r="O14" s="145">
        <f t="shared" si="9"/>
        <v>251017.51</v>
      </c>
      <c r="P14" s="144">
        <v>950400.33</v>
      </c>
      <c r="Q14" s="144">
        <v>608233.56999999995</v>
      </c>
      <c r="R14" s="147">
        <f t="shared" si="10"/>
        <v>1558633.9</v>
      </c>
      <c r="S14" s="117">
        <v>2735.57</v>
      </c>
      <c r="T14" s="117">
        <v>0</v>
      </c>
      <c r="U14" s="146">
        <v>0</v>
      </c>
      <c r="V14" s="146">
        <v>0</v>
      </c>
      <c r="W14" s="4"/>
      <c r="X14" s="4"/>
      <c r="Y14" s="4"/>
      <c r="Z14" s="4"/>
      <c r="AA14" s="4"/>
      <c r="AB14" s="4"/>
      <c r="AC14" s="4"/>
      <c r="AD14" s="4"/>
      <c r="AE14" s="4"/>
      <c r="AF14" s="118">
        <f t="shared" si="11"/>
        <v>332298.82</v>
      </c>
      <c r="AG14" s="112">
        <f t="shared" si="11"/>
        <v>153061.70000000001</v>
      </c>
      <c r="AH14" s="112">
        <f t="shared" si="11"/>
        <v>97955.81</v>
      </c>
      <c r="AI14" s="10">
        <f t="shared" si="12"/>
        <v>147995.62142385001</v>
      </c>
      <c r="AJ14" s="10">
        <f t="shared" si="13"/>
        <v>52366.304040639996</v>
      </c>
      <c r="AK14" s="10">
        <f t="shared" si="14"/>
        <v>467.64562113000005</v>
      </c>
      <c r="AL14" s="10">
        <f t="shared" si="15"/>
        <v>50187.938914380007</v>
      </c>
      <c r="AM14" s="10">
        <f t="shared" si="16"/>
        <v>2735.57</v>
      </c>
      <c r="AN14" s="9">
        <f t="shared" si="17"/>
        <v>0</v>
      </c>
      <c r="AO14" s="10">
        <f t="shared" si="18"/>
        <v>0</v>
      </c>
      <c r="AP14" s="66">
        <f t="shared" si="19"/>
        <v>1045766.0678489128</v>
      </c>
      <c r="AQ14" s="66">
        <f t="shared" si="20"/>
        <v>356670.19517223642</v>
      </c>
      <c r="AR14" s="66">
        <f t="shared" si="21"/>
        <v>3323.0142407351223</v>
      </c>
      <c r="AS14" s="66">
        <f t="shared" si="22"/>
        <v>83075.35601837805</v>
      </c>
      <c r="AT14" s="66"/>
      <c r="AU14" s="4"/>
      <c r="AV14" s="4"/>
      <c r="AW14" s="4"/>
      <c r="AX14" s="4"/>
      <c r="AY14" s="4"/>
      <c r="AZ14" s="4"/>
      <c r="BA14" s="4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9">
        <f t="shared" si="4"/>
        <v>2074886.5332802625</v>
      </c>
      <c r="BN14" s="9">
        <f t="shared" si="35"/>
        <v>1603355.3933593794</v>
      </c>
      <c r="BO14" s="9">
        <f t="shared" si="23"/>
        <v>467740.48005901807</v>
      </c>
      <c r="BP14" s="9">
        <f t="shared" si="24"/>
        <v>3790.6598618651224</v>
      </c>
      <c r="BQ14" s="10">
        <f t="shared" si="25"/>
        <v>0</v>
      </c>
      <c r="BR14" s="9">
        <f t="shared" si="26"/>
        <v>2074886.5332802627</v>
      </c>
      <c r="BS14" s="142">
        <f t="shared" si="36"/>
        <v>1402436.2630211492</v>
      </c>
      <c r="BT14" s="83">
        <f t="shared" si="27"/>
        <v>1402436</v>
      </c>
      <c r="BU14" s="175">
        <f t="shared" si="28"/>
        <v>1.3693718291883678E-3</v>
      </c>
      <c r="BV14" s="173">
        <f t="shared" si="29"/>
        <v>332298.82</v>
      </c>
      <c r="BW14" s="176">
        <f t="shared" si="30"/>
        <v>1.9374107217428292E-3</v>
      </c>
      <c r="BX14" s="177">
        <f t="shared" si="31"/>
        <v>0</v>
      </c>
      <c r="BY14" s="178">
        <f t="shared" si="32"/>
        <v>0</v>
      </c>
      <c r="BZ14" s="4"/>
      <c r="CA14" s="4"/>
      <c r="CB14" s="4"/>
      <c r="CC14" s="4"/>
      <c r="CD14" s="4"/>
      <c r="CE14" s="4"/>
      <c r="CF14" s="4"/>
      <c r="CG14" s="126">
        <f t="shared" si="33"/>
        <v>1150448.9030071499</v>
      </c>
      <c r="CH14" s="126">
        <f t="shared" si="34"/>
        <v>473825.08699284995</v>
      </c>
      <c r="CI14" s="126"/>
      <c r="CJ14" s="126"/>
      <c r="CK14" s="9"/>
      <c r="CL14" s="9"/>
      <c r="CM14" s="127"/>
      <c r="CN14" s="9"/>
      <c r="CO14" s="9"/>
      <c r="CP14" s="9"/>
      <c r="CQ14" s="126"/>
      <c r="CR14" s="126"/>
      <c r="CS14" s="126"/>
      <c r="CT14" s="126"/>
      <c r="CU14" s="126"/>
      <c r="CV14" s="9"/>
      <c r="CW14" s="9"/>
      <c r="CX14" s="127"/>
      <c r="CY14" s="67"/>
      <c r="CZ14" s="67"/>
    </row>
    <row r="15" spans="1:104" x14ac:dyDescent="0.35">
      <c r="A15" s="143">
        <v>10</v>
      </c>
      <c r="B15" s="116" t="s">
        <v>463</v>
      </c>
      <c r="C15" s="144">
        <v>14653329.677168418</v>
      </c>
      <c r="D15" s="144">
        <v>1484175.04</v>
      </c>
      <c r="E15" s="144">
        <v>399510.49</v>
      </c>
      <c r="F15" s="145">
        <f t="shared" si="7"/>
        <v>1883685.53</v>
      </c>
      <c r="G15" s="144"/>
      <c r="H15" s="144"/>
      <c r="I15" s="145"/>
      <c r="J15" s="144">
        <v>321232.74</v>
      </c>
      <c r="K15" s="144">
        <v>73647.600000000006</v>
      </c>
      <c r="L15" s="145">
        <f t="shared" si="8"/>
        <v>394880.33999999997</v>
      </c>
      <c r="M15" s="146">
        <v>134918.57999999999</v>
      </c>
      <c r="N15" s="146">
        <v>105154.22</v>
      </c>
      <c r="O15" s="145">
        <f t="shared" si="9"/>
        <v>240072.8</v>
      </c>
      <c r="P15" s="144">
        <v>837740.69</v>
      </c>
      <c r="Q15" s="144">
        <v>652929.53</v>
      </c>
      <c r="R15" s="147">
        <f t="shared" si="10"/>
        <v>1490670.22</v>
      </c>
      <c r="S15" s="117">
        <v>0</v>
      </c>
      <c r="T15" s="117">
        <v>0</v>
      </c>
      <c r="U15" s="146">
        <v>0</v>
      </c>
      <c r="V15" s="146">
        <v>0</v>
      </c>
      <c r="W15" s="4"/>
      <c r="X15" s="4"/>
      <c r="Y15" s="4"/>
      <c r="Z15" s="4"/>
      <c r="AA15" s="4"/>
      <c r="AB15" s="4"/>
      <c r="AC15" s="4"/>
      <c r="AD15" s="4"/>
      <c r="AE15" s="4"/>
      <c r="AF15" s="118">
        <f t="shared" si="11"/>
        <v>394880.33999999997</v>
      </c>
      <c r="AG15" s="112">
        <f t="shared" si="11"/>
        <v>134918.57999999999</v>
      </c>
      <c r="AH15" s="112">
        <f t="shared" si="11"/>
        <v>105154.22</v>
      </c>
      <c r="AI15" s="10">
        <f t="shared" si="12"/>
        <v>142254.97860805999</v>
      </c>
      <c r="AJ15" s="10">
        <f t="shared" si="13"/>
        <v>49370.890279139996</v>
      </c>
      <c r="AK15" s="10">
        <f t="shared" si="14"/>
        <v>447.25562639999998</v>
      </c>
      <c r="AL15" s="10">
        <f t="shared" si="15"/>
        <v>47999.675486399996</v>
      </c>
      <c r="AM15" s="10">
        <f t="shared" si="16"/>
        <v>0</v>
      </c>
      <c r="AN15" s="9">
        <f t="shared" si="17"/>
        <v>0</v>
      </c>
      <c r="AO15" s="10">
        <f t="shared" si="18"/>
        <v>0</v>
      </c>
      <c r="AP15" s="66">
        <f t="shared" si="19"/>
        <v>1223009.0660892648</v>
      </c>
      <c r="AQ15" s="66">
        <f t="shared" si="20"/>
        <v>423837.63452082308</v>
      </c>
      <c r="AR15" s="66">
        <f t="shared" si="21"/>
        <v>3948.7978371505255</v>
      </c>
      <c r="AS15" s="66">
        <f t="shared" si="22"/>
        <v>98719.945928763147</v>
      </c>
      <c r="AT15" s="66"/>
      <c r="AU15" s="4"/>
      <c r="AV15" s="4"/>
      <c r="AW15" s="4"/>
      <c r="AX15" s="4"/>
      <c r="AY15" s="4"/>
      <c r="AZ15" s="4"/>
      <c r="BA15" s="4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9">
        <f t="shared" si="4"/>
        <v>2384468.5843760017</v>
      </c>
      <c r="BN15" s="9">
        <f t="shared" si="35"/>
        <v>1837101.3547045479</v>
      </c>
      <c r="BO15" s="9">
        <f t="shared" si="23"/>
        <v>542971.17620790307</v>
      </c>
      <c r="BP15" s="9">
        <f t="shared" si="24"/>
        <v>4396.0534635505255</v>
      </c>
      <c r="BQ15" s="10">
        <f t="shared" si="25"/>
        <v>0</v>
      </c>
      <c r="BR15" s="9">
        <f t="shared" si="26"/>
        <v>2384468.5843760017</v>
      </c>
      <c r="BS15" s="142">
        <f t="shared" si="36"/>
        <v>1646846.700610088</v>
      </c>
      <c r="BT15" s="83">
        <f t="shared" si="27"/>
        <v>1646847</v>
      </c>
      <c r="BU15" s="175">
        <f t="shared" si="28"/>
        <v>1.6080199423460402E-3</v>
      </c>
      <c r="BV15" s="173">
        <f t="shared" si="29"/>
        <v>394880.33999999997</v>
      </c>
      <c r="BW15" s="176">
        <f t="shared" si="30"/>
        <v>2.3022814360925316E-3</v>
      </c>
      <c r="BX15" s="177">
        <f t="shared" si="31"/>
        <v>0</v>
      </c>
      <c r="BY15" s="178">
        <f t="shared" si="32"/>
        <v>0</v>
      </c>
      <c r="BZ15" s="4"/>
      <c r="CA15" s="4"/>
      <c r="CB15" s="4"/>
      <c r="CC15" s="4"/>
      <c r="CD15" s="4"/>
      <c r="CE15" s="4"/>
      <c r="CF15" s="4"/>
      <c r="CG15" s="126">
        <f t="shared" si="33"/>
        <v>1334186.2056160499</v>
      </c>
      <c r="CH15" s="126">
        <f t="shared" si="34"/>
        <v>549499.32438395009</v>
      </c>
      <c r="CI15" s="126"/>
      <c r="CJ15" s="126"/>
      <c r="CK15" s="9"/>
      <c r="CL15" s="9"/>
      <c r="CM15" s="127"/>
      <c r="CN15" s="9"/>
      <c r="CO15" s="9"/>
      <c r="CP15" s="9"/>
      <c r="CQ15" s="126"/>
      <c r="CR15" s="126"/>
      <c r="CS15" s="126"/>
      <c r="CT15" s="126"/>
      <c r="CU15" s="126"/>
      <c r="CV15" s="9"/>
      <c r="CW15" s="9"/>
      <c r="CX15" s="127"/>
      <c r="CY15" s="67"/>
      <c r="CZ15" s="67"/>
    </row>
    <row r="16" spans="1:104" x14ac:dyDescent="0.35">
      <c r="A16" s="143">
        <v>11</v>
      </c>
      <c r="B16" s="116" t="s">
        <v>464</v>
      </c>
      <c r="C16" s="144">
        <v>13287199.688837029</v>
      </c>
      <c r="D16" s="144">
        <v>1201240.51</v>
      </c>
      <c r="E16" s="144">
        <v>506829.01</v>
      </c>
      <c r="F16" s="145">
        <f t="shared" si="7"/>
        <v>1708069.52</v>
      </c>
      <c r="G16" s="144"/>
      <c r="H16" s="144"/>
      <c r="I16" s="145"/>
      <c r="J16" s="144">
        <v>272899.42</v>
      </c>
      <c r="K16" s="144">
        <v>105628.14</v>
      </c>
      <c r="L16" s="145">
        <f t="shared" si="8"/>
        <v>378527.56</v>
      </c>
      <c r="M16" s="146">
        <v>39917.919999999998</v>
      </c>
      <c r="N16" s="146">
        <v>67916.14</v>
      </c>
      <c r="O16" s="145">
        <f t="shared" si="9"/>
        <v>107834.06</v>
      </c>
      <c r="P16" s="144">
        <v>247859.96</v>
      </c>
      <c r="Q16" s="144">
        <v>421708.66</v>
      </c>
      <c r="R16" s="147">
        <f t="shared" si="10"/>
        <v>669568.62</v>
      </c>
      <c r="S16" s="117">
        <v>0</v>
      </c>
      <c r="T16" s="117">
        <v>0</v>
      </c>
      <c r="U16" s="146">
        <v>0</v>
      </c>
      <c r="V16" s="146">
        <v>0</v>
      </c>
      <c r="W16" s="4"/>
      <c r="X16" s="4"/>
      <c r="Y16" s="4"/>
      <c r="Z16" s="4"/>
      <c r="AA16" s="4"/>
      <c r="AB16" s="4"/>
      <c r="AC16" s="4"/>
      <c r="AD16" s="4"/>
      <c r="AE16" s="4"/>
      <c r="AF16" s="118">
        <f t="shared" si="11"/>
        <v>378527.56</v>
      </c>
      <c r="AG16" s="112">
        <f t="shared" si="11"/>
        <v>39917.919999999998</v>
      </c>
      <c r="AH16" s="112">
        <f t="shared" si="11"/>
        <v>67916.14</v>
      </c>
      <c r="AI16" s="10">
        <f t="shared" si="12"/>
        <v>65181.318370139998</v>
      </c>
      <c r="AJ16" s="10">
        <f t="shared" si="13"/>
        <v>20891.720487799997</v>
      </c>
      <c r="AK16" s="10">
        <f t="shared" si="14"/>
        <v>200.89485378000001</v>
      </c>
      <c r="AL16" s="10">
        <f t="shared" si="15"/>
        <v>21560.12628828</v>
      </c>
      <c r="AM16" s="10">
        <f t="shared" si="16"/>
        <v>0</v>
      </c>
      <c r="AN16" s="9">
        <f t="shared" si="17"/>
        <v>0</v>
      </c>
      <c r="AO16" s="10">
        <f t="shared" si="18"/>
        <v>0</v>
      </c>
      <c r="AP16" s="66">
        <f t="shared" si="19"/>
        <v>1184044.8274295912</v>
      </c>
      <c r="AQ16" s="66">
        <f t="shared" si="20"/>
        <v>406287.72041655227</v>
      </c>
      <c r="AR16" s="66">
        <f t="shared" si="21"/>
        <v>3785.289320651108</v>
      </c>
      <c r="AS16" s="66">
        <f t="shared" si="22"/>
        <v>94632.233016277693</v>
      </c>
      <c r="AT16" s="66"/>
      <c r="AU16" s="4"/>
      <c r="AV16" s="4"/>
      <c r="AW16" s="4"/>
      <c r="AX16" s="4"/>
      <c r="AY16" s="4"/>
      <c r="AZ16" s="4"/>
      <c r="BA16" s="4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9">
        <f t="shared" si="4"/>
        <v>2175111.6901830724</v>
      </c>
      <c r="BN16" s="9">
        <f t="shared" si="35"/>
        <v>1677073.9925045636</v>
      </c>
      <c r="BO16" s="9">
        <f t="shared" si="23"/>
        <v>494051.51350407768</v>
      </c>
      <c r="BP16" s="9">
        <f t="shared" si="24"/>
        <v>3986.1841744311082</v>
      </c>
      <c r="BQ16" s="10">
        <f t="shared" si="25"/>
        <v>0</v>
      </c>
      <c r="BR16" s="9">
        <f t="shared" si="26"/>
        <v>2175111.6901830724</v>
      </c>
      <c r="BS16" s="142">
        <f t="shared" si="36"/>
        <v>1590332.5478461436</v>
      </c>
      <c r="BT16" s="83">
        <f t="shared" si="27"/>
        <v>1590333</v>
      </c>
      <c r="BU16" s="175">
        <f t="shared" si="28"/>
        <v>1.5528381912847257E-3</v>
      </c>
      <c r="BV16" s="173">
        <f t="shared" si="29"/>
        <v>378527.56</v>
      </c>
      <c r="BW16" s="176">
        <f t="shared" si="30"/>
        <v>2.2069393843142508E-3</v>
      </c>
      <c r="BX16" s="177">
        <f t="shared" si="31"/>
        <v>0</v>
      </c>
      <c r="BY16" s="178">
        <f t="shared" si="32"/>
        <v>0</v>
      </c>
      <c r="BZ16" s="4"/>
      <c r="CA16" s="4"/>
      <c r="CB16" s="4"/>
      <c r="CC16" s="4"/>
      <c r="CD16" s="4"/>
      <c r="CE16" s="4"/>
      <c r="CF16" s="4"/>
      <c r="CG16" s="126">
        <f t="shared" si="33"/>
        <v>1209800.0199732003</v>
      </c>
      <c r="CH16" s="126">
        <f t="shared" si="34"/>
        <v>498269.50002679997</v>
      </c>
      <c r="CI16" s="126"/>
      <c r="CJ16" s="126"/>
      <c r="CK16" s="9"/>
      <c r="CL16" s="9"/>
      <c r="CM16" s="127"/>
      <c r="CN16" s="9"/>
      <c r="CO16" s="9"/>
      <c r="CP16" s="9"/>
      <c r="CQ16" s="126"/>
      <c r="CR16" s="126"/>
      <c r="CS16" s="126"/>
      <c r="CT16" s="126"/>
      <c r="CU16" s="126"/>
      <c r="CV16" s="9"/>
      <c r="CW16" s="9"/>
      <c r="CX16" s="127"/>
      <c r="CY16" s="67"/>
      <c r="CZ16" s="67"/>
    </row>
    <row r="17" spans="1:104" x14ac:dyDescent="0.35">
      <c r="A17" s="143">
        <v>12</v>
      </c>
      <c r="B17" s="116" t="s">
        <v>465</v>
      </c>
      <c r="C17" s="144">
        <v>5260540.7234539092</v>
      </c>
      <c r="D17" s="144">
        <v>507500.01</v>
      </c>
      <c r="E17" s="144">
        <v>168742.5</v>
      </c>
      <c r="F17" s="145">
        <f t="shared" si="7"/>
        <v>676242.51</v>
      </c>
      <c r="G17" s="144"/>
      <c r="H17" s="144"/>
      <c r="I17" s="145"/>
      <c r="J17" s="144">
        <v>108602.99</v>
      </c>
      <c r="K17" s="144">
        <v>36110.370000000003</v>
      </c>
      <c r="L17" s="145">
        <f t="shared" si="8"/>
        <v>144713.36000000002</v>
      </c>
      <c r="M17" s="146">
        <v>52785.06</v>
      </c>
      <c r="N17" s="146">
        <v>17550.25</v>
      </c>
      <c r="O17" s="145">
        <f t="shared" si="9"/>
        <v>70335.31</v>
      </c>
      <c r="P17" s="144">
        <v>327754.83</v>
      </c>
      <c r="Q17" s="144">
        <v>108971.94</v>
      </c>
      <c r="R17" s="147">
        <f t="shared" si="10"/>
        <v>436726.77</v>
      </c>
      <c r="S17" s="117">
        <v>0</v>
      </c>
      <c r="T17" s="117">
        <v>0</v>
      </c>
      <c r="U17" s="146">
        <v>0</v>
      </c>
      <c r="V17" s="146">
        <v>0</v>
      </c>
      <c r="W17" s="4"/>
      <c r="X17" s="4"/>
      <c r="Y17" s="4"/>
      <c r="Z17" s="4"/>
      <c r="AA17" s="4"/>
      <c r="AB17" s="4"/>
      <c r="AC17" s="4"/>
      <c r="AD17" s="4"/>
      <c r="AE17" s="4"/>
      <c r="AF17" s="118">
        <f t="shared" si="11"/>
        <v>144713.36000000002</v>
      </c>
      <c r="AG17" s="112">
        <f t="shared" si="11"/>
        <v>52785.06</v>
      </c>
      <c r="AH17" s="112">
        <f t="shared" si="11"/>
        <v>17550.25</v>
      </c>
      <c r="AI17" s="10">
        <f t="shared" si="12"/>
        <v>40853.955852369996</v>
      </c>
      <c r="AJ17" s="10">
        <f t="shared" si="13"/>
        <v>15287.618254319999</v>
      </c>
      <c r="AK17" s="10">
        <f t="shared" si="14"/>
        <v>131.03468253</v>
      </c>
      <c r="AL17" s="10">
        <f t="shared" si="15"/>
        <v>14062.70121078</v>
      </c>
      <c r="AM17" s="10">
        <f t="shared" si="16"/>
        <v>0</v>
      </c>
      <c r="AN17" s="9">
        <f t="shared" si="17"/>
        <v>0</v>
      </c>
      <c r="AO17" s="10">
        <f t="shared" si="18"/>
        <v>0</v>
      </c>
      <c r="AP17" s="66">
        <f t="shared" si="19"/>
        <v>451245.14549605077</v>
      </c>
      <c r="AQ17" s="66">
        <f t="shared" si="20"/>
        <v>155326.80930121586</v>
      </c>
      <c r="AR17" s="66">
        <f t="shared" si="21"/>
        <v>1447.1441860361726</v>
      </c>
      <c r="AS17" s="66">
        <f t="shared" si="22"/>
        <v>36178.604650904315</v>
      </c>
      <c r="AT17" s="66"/>
      <c r="AU17" s="4"/>
      <c r="AV17" s="4"/>
      <c r="AW17" s="4"/>
      <c r="AX17" s="4"/>
      <c r="AY17" s="4"/>
      <c r="AZ17" s="4"/>
      <c r="BA17" s="4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9">
        <f t="shared" si="4"/>
        <v>859246.37363420706</v>
      </c>
      <c r="BN17" s="9">
        <f t="shared" si="35"/>
        <v>661488.6118604166</v>
      </c>
      <c r="BO17" s="9">
        <f t="shared" si="23"/>
        <v>196179.58290522432</v>
      </c>
      <c r="BP17" s="9">
        <f t="shared" si="24"/>
        <v>1578.1788685661727</v>
      </c>
      <c r="BQ17" s="10">
        <f t="shared" si="25"/>
        <v>0</v>
      </c>
      <c r="BR17" s="9">
        <f t="shared" si="26"/>
        <v>859246.37363420706</v>
      </c>
      <c r="BS17" s="142">
        <f t="shared" si="36"/>
        <v>606571.95479726663</v>
      </c>
      <c r="BT17" s="83">
        <f t="shared" si="27"/>
        <v>606572</v>
      </c>
      <c r="BU17" s="175">
        <f t="shared" si="28"/>
        <v>5.9227115639876385E-4</v>
      </c>
      <c r="BV17" s="173">
        <f t="shared" si="29"/>
        <v>144713.36000000002</v>
      </c>
      <c r="BW17" s="176">
        <f t="shared" si="30"/>
        <v>8.4372618369042023E-4</v>
      </c>
      <c r="BX17" s="177">
        <f t="shared" si="31"/>
        <v>0</v>
      </c>
      <c r="BY17" s="178">
        <f t="shared" si="32"/>
        <v>0</v>
      </c>
      <c r="BZ17" s="4"/>
      <c r="CA17" s="4"/>
      <c r="CB17" s="4"/>
      <c r="CC17" s="4"/>
      <c r="CD17" s="4"/>
      <c r="CE17" s="4"/>
      <c r="CF17" s="4"/>
      <c r="CG17" s="126">
        <f t="shared" si="33"/>
        <v>478972.42619535007</v>
      </c>
      <c r="CH17" s="126">
        <f t="shared" si="34"/>
        <v>197270.08380465</v>
      </c>
      <c r="CI17" s="126"/>
      <c r="CJ17" s="126"/>
      <c r="CK17" s="9"/>
      <c r="CL17" s="9"/>
      <c r="CM17" s="127"/>
      <c r="CN17" s="9"/>
      <c r="CO17" s="9"/>
      <c r="CP17" s="9"/>
      <c r="CQ17" s="126"/>
      <c r="CR17" s="126"/>
      <c r="CS17" s="126"/>
      <c r="CT17" s="126"/>
      <c r="CU17" s="126"/>
      <c r="CV17" s="9"/>
      <c r="CW17" s="9"/>
      <c r="CX17" s="127"/>
      <c r="CY17" s="67"/>
      <c r="CZ17" s="67"/>
    </row>
    <row r="18" spans="1:104" x14ac:dyDescent="0.35">
      <c r="A18" s="143">
        <v>13</v>
      </c>
      <c r="B18" s="116" t="s">
        <v>466</v>
      </c>
      <c r="C18" s="144">
        <v>9391312.718786465</v>
      </c>
      <c r="D18" s="144">
        <v>1051956.68</v>
      </c>
      <c r="E18" s="144">
        <v>155296.57</v>
      </c>
      <c r="F18" s="145">
        <f t="shared" si="7"/>
        <v>1207253.25</v>
      </c>
      <c r="G18" s="144"/>
      <c r="H18" s="144"/>
      <c r="I18" s="145"/>
      <c r="J18" s="144">
        <v>212112.38</v>
      </c>
      <c r="K18" s="144">
        <v>23261.77</v>
      </c>
      <c r="L18" s="145">
        <f t="shared" si="8"/>
        <v>235374.15</v>
      </c>
      <c r="M18" s="146">
        <v>179252.34</v>
      </c>
      <c r="N18" s="146">
        <v>69685.94</v>
      </c>
      <c r="O18" s="145">
        <f t="shared" si="9"/>
        <v>248938.28</v>
      </c>
      <c r="P18" s="144">
        <v>1113020.3500000001</v>
      </c>
      <c r="Q18" s="144">
        <v>432697.92</v>
      </c>
      <c r="R18" s="147">
        <f t="shared" si="10"/>
        <v>1545718.27</v>
      </c>
      <c r="S18" s="117">
        <v>0</v>
      </c>
      <c r="T18" s="117">
        <v>0</v>
      </c>
      <c r="U18" s="146">
        <v>0</v>
      </c>
      <c r="V18" s="146">
        <v>0</v>
      </c>
      <c r="W18" s="4"/>
      <c r="X18" s="4"/>
      <c r="Y18" s="4"/>
      <c r="Z18" s="4"/>
      <c r="AA18" s="4"/>
      <c r="AB18" s="4"/>
      <c r="AC18" s="4"/>
      <c r="AD18" s="4"/>
      <c r="AE18" s="4"/>
      <c r="AF18" s="118">
        <f t="shared" si="11"/>
        <v>235374.15</v>
      </c>
      <c r="AG18" s="112">
        <f t="shared" si="11"/>
        <v>179252.34</v>
      </c>
      <c r="AH18" s="112">
        <f t="shared" si="11"/>
        <v>69685.94</v>
      </c>
      <c r="AI18" s="10">
        <f t="shared" si="12"/>
        <v>145064.76354697999</v>
      </c>
      <c r="AJ18" s="10">
        <f t="shared" si="13"/>
        <v>53637.522610740001</v>
      </c>
      <c r="AK18" s="10">
        <f t="shared" si="14"/>
        <v>463.77201564000001</v>
      </c>
      <c r="AL18" s="10">
        <f t="shared" si="15"/>
        <v>49772.221826640001</v>
      </c>
      <c r="AM18" s="10">
        <f t="shared" si="16"/>
        <v>0</v>
      </c>
      <c r="AN18" s="9">
        <f t="shared" si="17"/>
        <v>0</v>
      </c>
      <c r="AO18" s="10">
        <f t="shared" si="18"/>
        <v>0</v>
      </c>
      <c r="AP18" s="66">
        <f t="shared" si="19"/>
        <v>722095.03091237694</v>
      </c>
      <c r="AQ18" s="66">
        <f t="shared" si="20"/>
        <v>252628.14125092412</v>
      </c>
      <c r="AR18" s="66">
        <f t="shared" si="21"/>
        <v>2353.6783346359389</v>
      </c>
      <c r="AS18" s="66">
        <f t="shared" si="22"/>
        <v>58841.95836589847</v>
      </c>
      <c r="AT18" s="66"/>
      <c r="AU18" s="4"/>
      <c r="AV18" s="4"/>
      <c r="AW18" s="4"/>
      <c r="AX18" s="4"/>
      <c r="AY18" s="4"/>
      <c r="AZ18" s="4"/>
      <c r="BA18" s="4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9">
        <f t="shared" si="4"/>
        <v>1520231.2388638356</v>
      </c>
      <c r="BN18" s="9">
        <f t="shared" si="35"/>
        <v>1169560.1575369211</v>
      </c>
      <c r="BO18" s="9">
        <f t="shared" si="23"/>
        <v>347853.63097663847</v>
      </c>
      <c r="BP18" s="9">
        <f t="shared" si="24"/>
        <v>2817.4503502759389</v>
      </c>
      <c r="BQ18" s="10">
        <f t="shared" si="25"/>
        <v>0</v>
      </c>
      <c r="BR18" s="9">
        <f t="shared" si="26"/>
        <v>1520231.2388638356</v>
      </c>
      <c r="BS18" s="142">
        <f t="shared" si="36"/>
        <v>974723.17216330103</v>
      </c>
      <c r="BT18" s="83">
        <f t="shared" si="27"/>
        <v>974723</v>
      </c>
      <c r="BU18" s="175">
        <f t="shared" si="28"/>
        <v>9.5174268407905479E-4</v>
      </c>
      <c r="BV18" s="173">
        <f t="shared" si="29"/>
        <v>235374.15</v>
      </c>
      <c r="BW18" s="176">
        <f t="shared" si="30"/>
        <v>1.3723082189431336E-3</v>
      </c>
      <c r="BX18" s="177">
        <f t="shared" si="31"/>
        <v>0</v>
      </c>
      <c r="BY18" s="178">
        <f t="shared" si="32"/>
        <v>0</v>
      </c>
      <c r="BZ18" s="4"/>
      <c r="CA18" s="4"/>
      <c r="CB18" s="4"/>
      <c r="CC18" s="4"/>
      <c r="CD18" s="4"/>
      <c r="CE18" s="4"/>
      <c r="CF18" s="4"/>
      <c r="CG18" s="126">
        <f t="shared" si="33"/>
        <v>855079.36817625002</v>
      </c>
      <c r="CH18" s="126">
        <f t="shared" si="34"/>
        <v>352173.88182374998</v>
      </c>
      <c r="CI18" s="126"/>
      <c r="CJ18" s="126"/>
      <c r="CK18" s="9"/>
      <c r="CL18" s="9"/>
      <c r="CM18" s="127"/>
      <c r="CN18" s="9"/>
      <c r="CO18" s="9"/>
      <c r="CP18" s="9"/>
      <c r="CQ18" s="126"/>
      <c r="CR18" s="126"/>
      <c r="CS18" s="126"/>
      <c r="CT18" s="126"/>
      <c r="CU18" s="126"/>
      <c r="CV18" s="9"/>
      <c r="CW18" s="9"/>
      <c r="CX18" s="127"/>
      <c r="CY18" s="67"/>
      <c r="CZ18" s="67"/>
    </row>
    <row r="19" spans="1:104" x14ac:dyDescent="0.35">
      <c r="A19" s="143">
        <v>14</v>
      </c>
      <c r="B19" s="116" t="s">
        <v>467</v>
      </c>
      <c r="C19" s="144">
        <v>12215221.236872813</v>
      </c>
      <c r="D19" s="144">
        <v>1218226.47</v>
      </c>
      <c r="E19" s="144">
        <v>352040.22</v>
      </c>
      <c r="F19" s="145">
        <f t="shared" si="7"/>
        <v>1570266.69</v>
      </c>
      <c r="G19" s="144"/>
      <c r="H19" s="144"/>
      <c r="I19" s="145"/>
      <c r="J19" s="144">
        <v>251117.69</v>
      </c>
      <c r="K19" s="144">
        <v>71979.77</v>
      </c>
      <c r="L19" s="145">
        <f t="shared" si="8"/>
        <v>323097.46000000002</v>
      </c>
      <c r="M19" s="146">
        <v>178139.93</v>
      </c>
      <c r="N19" s="146">
        <v>54634.11</v>
      </c>
      <c r="O19" s="145">
        <f t="shared" si="9"/>
        <v>232774.03999999998</v>
      </c>
      <c r="P19" s="144">
        <v>1106115.21</v>
      </c>
      <c r="Q19" s="144">
        <v>339236.04</v>
      </c>
      <c r="R19" s="147">
        <f t="shared" si="10"/>
        <v>1445351.25</v>
      </c>
      <c r="S19" s="117">
        <v>0</v>
      </c>
      <c r="T19" s="117">
        <v>0</v>
      </c>
      <c r="U19" s="146">
        <v>0</v>
      </c>
      <c r="V19" s="146">
        <v>1078.4000000000001</v>
      </c>
      <c r="W19" s="4"/>
      <c r="X19" s="4"/>
      <c r="Y19" s="4"/>
      <c r="Z19" s="4"/>
      <c r="AA19" s="4"/>
      <c r="AB19" s="4"/>
      <c r="AC19" s="4"/>
      <c r="AD19" s="4"/>
      <c r="AE19" s="4"/>
      <c r="AF19" s="118">
        <f t="shared" si="11"/>
        <v>323097.46000000002</v>
      </c>
      <c r="AG19" s="112">
        <f t="shared" si="11"/>
        <v>178139.93</v>
      </c>
      <c r="AH19" s="112">
        <f t="shared" si="11"/>
        <v>54634.11</v>
      </c>
      <c r="AI19" s="10">
        <f t="shared" si="12"/>
        <v>134991.66485430999</v>
      </c>
      <c r="AJ19" s="10">
        <f t="shared" si="13"/>
        <v>50808.341099650002</v>
      </c>
      <c r="AK19" s="10">
        <f t="shared" si="14"/>
        <v>433.65803652</v>
      </c>
      <c r="AL19" s="10">
        <f t="shared" si="15"/>
        <v>46540.376009519998</v>
      </c>
      <c r="AM19" s="10">
        <f t="shared" si="16"/>
        <v>0</v>
      </c>
      <c r="AN19" s="9">
        <f t="shared" si="17"/>
        <v>0</v>
      </c>
      <c r="AO19" s="10">
        <f t="shared" si="18"/>
        <v>0</v>
      </c>
      <c r="AP19" s="66">
        <f t="shared" si="19"/>
        <v>1004589.7721498103</v>
      </c>
      <c r="AQ19" s="66">
        <f t="shared" si="20"/>
        <v>346789.81357730454</v>
      </c>
      <c r="AR19" s="66">
        <f t="shared" si="21"/>
        <v>3230.9609960618432</v>
      </c>
      <c r="AS19" s="66">
        <f t="shared" si="22"/>
        <v>80774.024901546087</v>
      </c>
      <c r="AT19" s="66"/>
      <c r="AU19" s="4"/>
      <c r="AV19" s="4"/>
      <c r="AW19" s="4"/>
      <c r="AX19" s="4"/>
      <c r="AY19" s="4"/>
      <c r="AZ19" s="4"/>
      <c r="BA19" s="4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9">
        <f t="shared" si="4"/>
        <v>1991256.0716247228</v>
      </c>
      <c r="BN19" s="9">
        <f t="shared" si="35"/>
        <v>1532911.6265909448</v>
      </c>
      <c r="BO19" s="9">
        <f t="shared" si="23"/>
        <v>454679.82600119611</v>
      </c>
      <c r="BP19" s="9">
        <f t="shared" si="24"/>
        <v>3664.6190325818434</v>
      </c>
      <c r="BQ19" s="10">
        <f t="shared" si="25"/>
        <v>0</v>
      </c>
      <c r="BR19" s="9">
        <f t="shared" si="26"/>
        <v>1991256.0716247228</v>
      </c>
      <c r="BS19" s="142">
        <f t="shared" si="36"/>
        <v>1351379.5857271149</v>
      </c>
      <c r="BT19" s="83">
        <f t="shared" si="27"/>
        <v>1351380</v>
      </c>
      <c r="BU19" s="175">
        <f t="shared" si="28"/>
        <v>1.319518885834066E-3</v>
      </c>
      <c r="BV19" s="173">
        <f t="shared" si="29"/>
        <v>323097.46000000002</v>
      </c>
      <c r="BW19" s="176">
        <f t="shared" si="30"/>
        <v>1.8837637857753299E-3</v>
      </c>
      <c r="BX19" s="177">
        <f t="shared" si="31"/>
        <v>0</v>
      </c>
      <c r="BY19" s="178">
        <f t="shared" si="32"/>
        <v>0</v>
      </c>
      <c r="BZ19" s="4"/>
      <c r="CA19" s="4"/>
      <c r="CB19" s="4"/>
      <c r="CC19" s="4"/>
      <c r="CD19" s="4"/>
      <c r="CE19" s="4"/>
      <c r="CF19" s="4"/>
      <c r="CG19" s="126">
        <f t="shared" si="33"/>
        <v>1112196.3425266501</v>
      </c>
      <c r="CH19" s="126">
        <f t="shared" si="34"/>
        <v>458070.34747335</v>
      </c>
      <c r="CI19" s="126"/>
      <c r="CJ19" s="126"/>
      <c r="CK19" s="9"/>
      <c r="CL19" s="9"/>
      <c r="CM19" s="127"/>
      <c r="CN19" s="9"/>
      <c r="CO19" s="9"/>
      <c r="CP19" s="9"/>
      <c r="CQ19" s="126"/>
      <c r="CR19" s="126"/>
      <c r="CS19" s="126"/>
      <c r="CT19" s="126"/>
      <c r="CU19" s="126"/>
      <c r="CV19" s="9"/>
      <c r="CW19" s="9"/>
      <c r="CX19" s="127"/>
      <c r="CY19" s="67"/>
      <c r="CZ19" s="67"/>
    </row>
    <row r="20" spans="1:104" x14ac:dyDescent="0.35">
      <c r="A20" s="143">
        <v>15</v>
      </c>
      <c r="B20" s="116" t="s">
        <v>468</v>
      </c>
      <c r="C20" s="144">
        <v>57556496.616102681</v>
      </c>
      <c r="D20" s="144">
        <v>4942884.9000000004</v>
      </c>
      <c r="E20" s="144">
        <v>2456002.7400000002</v>
      </c>
      <c r="F20" s="145">
        <f t="shared" si="7"/>
        <v>7398887.6400000006</v>
      </c>
      <c r="G20" s="144"/>
      <c r="H20" s="144"/>
      <c r="I20" s="145"/>
      <c r="J20" s="144">
        <v>1088895.8799999999</v>
      </c>
      <c r="K20" s="144">
        <v>539053.09</v>
      </c>
      <c r="L20" s="145">
        <f t="shared" si="8"/>
        <v>1627948.9699999997</v>
      </c>
      <c r="M20" s="146">
        <v>346986.78</v>
      </c>
      <c r="N20" s="146">
        <v>183131.01</v>
      </c>
      <c r="O20" s="145">
        <f t="shared" si="9"/>
        <v>530117.79</v>
      </c>
      <c r="P20" s="144">
        <v>2154529.0699999998</v>
      </c>
      <c r="Q20" s="144">
        <v>1137106.3500000001</v>
      </c>
      <c r="R20" s="147">
        <f t="shared" si="10"/>
        <v>3291635.42</v>
      </c>
      <c r="S20" s="117">
        <v>0</v>
      </c>
      <c r="T20" s="117">
        <v>0</v>
      </c>
      <c r="U20" s="146">
        <v>0</v>
      </c>
      <c r="V20" s="146">
        <v>0</v>
      </c>
      <c r="W20" s="4"/>
      <c r="X20" s="4"/>
      <c r="Y20" s="4"/>
      <c r="Z20" s="4"/>
      <c r="AA20" s="4"/>
      <c r="AB20" s="4"/>
      <c r="AC20" s="4"/>
      <c r="AD20" s="4"/>
      <c r="AE20" s="4"/>
      <c r="AF20" s="118">
        <f t="shared" si="11"/>
        <v>1627948.9699999997</v>
      </c>
      <c r="AG20" s="112">
        <f t="shared" si="11"/>
        <v>346986.78</v>
      </c>
      <c r="AH20" s="112">
        <f t="shared" si="11"/>
        <v>183131.01</v>
      </c>
      <c r="AI20" s="10">
        <f t="shared" si="12"/>
        <v>311074.30661601003</v>
      </c>
      <c r="AJ20" s="10">
        <f t="shared" si="13"/>
        <v>112065.1832442</v>
      </c>
      <c r="AK20" s="10">
        <f t="shared" si="14"/>
        <v>987.60944277000021</v>
      </c>
      <c r="AL20" s="10">
        <f t="shared" si="15"/>
        <v>105990.69069702001</v>
      </c>
      <c r="AM20" s="10">
        <f t="shared" si="16"/>
        <v>0</v>
      </c>
      <c r="AN20" s="9">
        <f t="shared" si="17"/>
        <v>0</v>
      </c>
      <c r="AO20" s="10">
        <f t="shared" si="18"/>
        <v>0</v>
      </c>
      <c r="AP20" s="66">
        <f t="shared" si="19"/>
        <v>5120498.8261181023</v>
      </c>
      <c r="AQ20" s="66">
        <f t="shared" si="20"/>
        <v>1747328.5305145064</v>
      </c>
      <c r="AR20" s="66">
        <f t="shared" si="21"/>
        <v>16279.458358830805</v>
      </c>
      <c r="AS20" s="66">
        <f t="shared" si="22"/>
        <v>406986.45897077012</v>
      </c>
      <c r="AT20" s="66"/>
      <c r="AU20" s="4"/>
      <c r="AV20" s="4"/>
      <c r="AW20" s="4"/>
      <c r="AX20" s="4"/>
      <c r="AY20" s="4"/>
      <c r="AZ20" s="4"/>
      <c r="BA20" s="4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9">
        <f t="shared" si="4"/>
        <v>9449160.0339622088</v>
      </c>
      <c r="BN20" s="9">
        <f t="shared" si="35"/>
        <v>7284892.353945639</v>
      </c>
      <c r="BO20" s="9">
        <f t="shared" si="23"/>
        <v>2147000.6122149699</v>
      </c>
      <c r="BP20" s="9">
        <f t="shared" si="24"/>
        <v>17267.067801600806</v>
      </c>
      <c r="BQ20" s="10">
        <f t="shared" si="25"/>
        <v>0</v>
      </c>
      <c r="BR20" s="9">
        <f t="shared" si="26"/>
        <v>9449160.0339622088</v>
      </c>
      <c r="BS20" s="142">
        <f t="shared" si="36"/>
        <v>6867827.3566326089</v>
      </c>
      <c r="BT20" s="83">
        <f t="shared" si="27"/>
        <v>6867827</v>
      </c>
      <c r="BU20" s="175">
        <f t="shared" si="28"/>
        <v>6.7059085377914841E-3</v>
      </c>
      <c r="BV20" s="173">
        <f t="shared" si="29"/>
        <v>1627948.9699999997</v>
      </c>
      <c r="BW20" s="176">
        <f t="shared" si="30"/>
        <v>9.4914745376712285E-3</v>
      </c>
      <c r="BX20" s="177">
        <f t="shared" si="31"/>
        <v>0</v>
      </c>
      <c r="BY20" s="178">
        <f t="shared" si="32"/>
        <v>0</v>
      </c>
      <c r="BZ20" s="4"/>
      <c r="CA20" s="4"/>
      <c r="CB20" s="4"/>
      <c r="CC20" s="4"/>
      <c r="CD20" s="4"/>
      <c r="CE20" s="4"/>
      <c r="CF20" s="4"/>
      <c r="CG20" s="126">
        <f t="shared" si="33"/>
        <v>5240521.1320974007</v>
      </c>
      <c r="CH20" s="126">
        <f t="shared" si="34"/>
        <v>2158366.5079026003</v>
      </c>
      <c r="CI20" s="126"/>
      <c r="CJ20" s="126"/>
      <c r="CK20" s="9"/>
      <c r="CL20" s="9"/>
      <c r="CM20" s="127"/>
      <c r="CN20" s="9"/>
      <c r="CO20" s="9"/>
      <c r="CP20" s="9"/>
      <c r="CQ20" s="126"/>
      <c r="CR20" s="126"/>
      <c r="CS20" s="126"/>
      <c r="CT20" s="126"/>
      <c r="CU20" s="126"/>
      <c r="CV20" s="9"/>
      <c r="CW20" s="9"/>
      <c r="CX20" s="127"/>
      <c r="CY20" s="67"/>
      <c r="CZ20" s="67"/>
    </row>
    <row r="21" spans="1:104" x14ac:dyDescent="0.35">
      <c r="A21" s="143">
        <v>16</v>
      </c>
      <c r="B21" s="116" t="s">
        <v>469</v>
      </c>
      <c r="C21" s="144">
        <v>8987816.1804745235</v>
      </c>
      <c r="D21" s="144">
        <v>866581.1</v>
      </c>
      <c r="E21" s="144">
        <v>288802.67</v>
      </c>
      <c r="F21" s="145">
        <f t="shared" si="7"/>
        <v>1155383.77</v>
      </c>
      <c r="G21" s="144"/>
      <c r="H21" s="144"/>
      <c r="I21" s="145"/>
      <c r="J21" s="144">
        <v>181316.32</v>
      </c>
      <c r="K21" s="144">
        <v>60512.22</v>
      </c>
      <c r="L21" s="145">
        <f t="shared" si="8"/>
        <v>241828.54</v>
      </c>
      <c r="M21" s="146">
        <v>112306.72</v>
      </c>
      <c r="N21" s="146">
        <v>36975.620000000003</v>
      </c>
      <c r="O21" s="145">
        <f t="shared" si="9"/>
        <v>149282.34</v>
      </c>
      <c r="P21" s="144">
        <v>697342.16</v>
      </c>
      <c r="Q21" s="144">
        <v>229590.7</v>
      </c>
      <c r="R21" s="147">
        <f t="shared" si="10"/>
        <v>926932.8600000001</v>
      </c>
      <c r="S21" s="117">
        <v>0</v>
      </c>
      <c r="T21" s="117">
        <v>0</v>
      </c>
      <c r="U21" s="146">
        <v>0</v>
      </c>
      <c r="V21" s="146">
        <v>0</v>
      </c>
      <c r="W21" s="4"/>
      <c r="X21" s="4"/>
      <c r="Y21" s="4"/>
      <c r="Z21" s="4"/>
      <c r="AA21" s="4"/>
      <c r="AB21" s="4"/>
      <c r="AC21" s="4"/>
      <c r="AD21" s="4"/>
      <c r="AE21" s="4"/>
      <c r="AF21" s="118">
        <f t="shared" si="11"/>
        <v>241828.54</v>
      </c>
      <c r="AG21" s="112">
        <f t="shared" si="11"/>
        <v>112306.72</v>
      </c>
      <c r="AH21" s="112">
        <f t="shared" si="11"/>
        <v>36975.620000000003</v>
      </c>
      <c r="AI21" s="10">
        <f t="shared" si="12"/>
        <v>86692.996656339994</v>
      </c>
      <c r="AJ21" s="10">
        <f t="shared" si="13"/>
        <v>32464.01784932</v>
      </c>
      <c r="AK21" s="10">
        <f t="shared" si="14"/>
        <v>278.11299941999999</v>
      </c>
      <c r="AL21" s="10">
        <f t="shared" si="15"/>
        <v>29847.212494920001</v>
      </c>
      <c r="AM21" s="10">
        <f t="shared" si="16"/>
        <v>0</v>
      </c>
      <c r="AN21" s="9">
        <f t="shared" si="17"/>
        <v>0</v>
      </c>
      <c r="AO21" s="10">
        <f t="shared" si="18"/>
        <v>0</v>
      </c>
      <c r="AP21" s="66">
        <f t="shared" si="19"/>
        <v>754113.69358046947</v>
      </c>
      <c r="AQ21" s="66">
        <f t="shared" si="20"/>
        <v>259560.44291927965</v>
      </c>
      <c r="AR21" s="66">
        <f t="shared" si="21"/>
        <v>2418.2649961423567</v>
      </c>
      <c r="AS21" s="66">
        <f t="shared" si="22"/>
        <v>60456.624903558921</v>
      </c>
      <c r="AT21" s="66"/>
      <c r="AU21" s="4"/>
      <c r="AV21" s="4"/>
      <c r="AW21" s="4"/>
      <c r="AX21" s="4"/>
      <c r="AY21" s="4"/>
      <c r="AZ21" s="4"/>
      <c r="BA21" s="4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9">
        <f t="shared" si="4"/>
        <v>1467659.9063994505</v>
      </c>
      <c r="BN21" s="9">
        <f t="shared" si="35"/>
        <v>1130214.3456510091</v>
      </c>
      <c r="BO21" s="9">
        <f t="shared" si="23"/>
        <v>334749.18275287893</v>
      </c>
      <c r="BP21" s="9">
        <f t="shared" si="24"/>
        <v>2696.3779955623568</v>
      </c>
      <c r="BQ21" s="10">
        <f t="shared" si="25"/>
        <v>0</v>
      </c>
      <c r="BR21" s="9">
        <f t="shared" si="26"/>
        <v>1467659.9063994503</v>
      </c>
      <c r="BS21" s="142">
        <f t="shared" si="36"/>
        <v>1013674.1364997491</v>
      </c>
      <c r="BT21" s="83">
        <f t="shared" si="27"/>
        <v>1013674</v>
      </c>
      <c r="BU21" s="175">
        <f t="shared" si="28"/>
        <v>9.8977532391336036E-4</v>
      </c>
      <c r="BV21" s="173">
        <f t="shared" si="29"/>
        <v>241828.54</v>
      </c>
      <c r="BW21" s="176">
        <f t="shared" si="30"/>
        <v>1.4099394220521597E-3</v>
      </c>
      <c r="BX21" s="177">
        <f t="shared" si="31"/>
        <v>0</v>
      </c>
      <c r="BY21" s="178">
        <f t="shared" si="32"/>
        <v>0</v>
      </c>
      <c r="BZ21" s="4"/>
      <c r="CA21" s="4"/>
      <c r="CB21" s="4"/>
      <c r="CC21" s="4"/>
      <c r="CD21" s="4"/>
      <c r="CE21" s="4"/>
      <c r="CF21" s="4"/>
      <c r="CG21" s="126">
        <f t="shared" si="33"/>
        <v>818340.99353444995</v>
      </c>
      <c r="CH21" s="126">
        <f t="shared" si="34"/>
        <v>337042.77646555001</v>
      </c>
      <c r="CI21" s="126"/>
      <c r="CJ21" s="126"/>
      <c r="CK21" s="9"/>
      <c r="CL21" s="9"/>
      <c r="CM21" s="127"/>
      <c r="CN21" s="9"/>
      <c r="CO21" s="9"/>
      <c r="CP21" s="9"/>
      <c r="CQ21" s="126"/>
      <c r="CR21" s="126"/>
      <c r="CS21" s="126"/>
      <c r="CT21" s="126"/>
      <c r="CU21" s="126"/>
      <c r="CV21" s="9"/>
      <c r="CW21" s="9"/>
      <c r="CX21" s="127"/>
      <c r="CY21" s="67"/>
      <c r="CZ21" s="67"/>
    </row>
    <row r="22" spans="1:104" x14ac:dyDescent="0.35">
      <c r="A22" s="143">
        <v>17</v>
      </c>
      <c r="B22" s="116" t="s">
        <v>470</v>
      </c>
      <c r="C22" s="144">
        <v>7470961.7269544927</v>
      </c>
      <c r="D22" s="144">
        <v>742510.47</v>
      </c>
      <c r="E22" s="144">
        <v>217881.66</v>
      </c>
      <c r="F22" s="145">
        <f t="shared" si="7"/>
        <v>960392.13</v>
      </c>
      <c r="G22" s="144"/>
      <c r="H22" s="144"/>
      <c r="I22" s="145"/>
      <c r="J22" s="144">
        <v>164188.04</v>
      </c>
      <c r="K22" s="144">
        <v>43503.23</v>
      </c>
      <c r="L22" s="145">
        <f t="shared" si="8"/>
        <v>207691.27000000002</v>
      </c>
      <c r="M22" s="146">
        <v>48819.21</v>
      </c>
      <c r="N22" s="146">
        <v>39431.86</v>
      </c>
      <c r="O22" s="145">
        <f t="shared" si="9"/>
        <v>88251.07</v>
      </c>
      <c r="P22" s="144">
        <v>303133.02</v>
      </c>
      <c r="Q22" s="144">
        <v>244842.94</v>
      </c>
      <c r="R22" s="147">
        <f t="shared" si="10"/>
        <v>547975.96</v>
      </c>
      <c r="S22" s="117">
        <v>0</v>
      </c>
      <c r="T22" s="117">
        <v>0</v>
      </c>
      <c r="U22" s="146">
        <v>0</v>
      </c>
      <c r="V22" s="146">
        <v>0</v>
      </c>
      <c r="W22" s="4"/>
      <c r="X22" s="4"/>
      <c r="Y22" s="4"/>
      <c r="Z22" s="4"/>
      <c r="AA22" s="4"/>
      <c r="AB22" s="4"/>
      <c r="AC22" s="4"/>
      <c r="AD22" s="4"/>
      <c r="AE22" s="4"/>
      <c r="AF22" s="118">
        <f t="shared" si="11"/>
        <v>207691.27000000002</v>
      </c>
      <c r="AG22" s="112">
        <f t="shared" si="11"/>
        <v>48819.21</v>
      </c>
      <c r="AH22" s="112">
        <f t="shared" si="11"/>
        <v>39431.86</v>
      </c>
      <c r="AI22" s="10">
        <f t="shared" si="12"/>
        <v>52341.361409620004</v>
      </c>
      <c r="AJ22" s="10">
        <f t="shared" si="13"/>
        <v>18100.554413309997</v>
      </c>
      <c r="AK22" s="10">
        <f t="shared" si="14"/>
        <v>164.41174340999999</v>
      </c>
      <c r="AL22" s="10">
        <f t="shared" si="15"/>
        <v>17644.742433660002</v>
      </c>
      <c r="AM22" s="10">
        <f t="shared" si="16"/>
        <v>0</v>
      </c>
      <c r="AN22" s="9">
        <f t="shared" si="17"/>
        <v>0</v>
      </c>
      <c r="AO22" s="10">
        <f t="shared" si="18"/>
        <v>0</v>
      </c>
      <c r="AP22" s="66">
        <f t="shared" si="19"/>
        <v>644838.60087723925</v>
      </c>
      <c r="AQ22" s="66">
        <f t="shared" si="20"/>
        <v>222920.14169593467</v>
      </c>
      <c r="AR22" s="66">
        <f t="shared" si="21"/>
        <v>2076.8957300863476</v>
      </c>
      <c r="AS22" s="66">
        <f t="shared" si="22"/>
        <v>51922.393252158698</v>
      </c>
      <c r="AT22" s="66"/>
      <c r="AU22" s="4"/>
      <c r="AV22" s="4"/>
      <c r="AW22" s="4"/>
      <c r="AX22" s="4"/>
      <c r="AY22" s="4"/>
      <c r="AZ22" s="4"/>
      <c r="BA22" s="4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9">
        <f t="shared" si="4"/>
        <v>1217700.3715554189</v>
      </c>
      <c r="BN22" s="9">
        <f t="shared" si="35"/>
        <v>937744.84641645395</v>
      </c>
      <c r="BO22" s="9">
        <f t="shared" si="23"/>
        <v>277714.21766546869</v>
      </c>
      <c r="BP22" s="9">
        <f t="shared" si="24"/>
        <v>2241.3074734963475</v>
      </c>
      <c r="BQ22" s="10">
        <f t="shared" si="25"/>
        <v>0</v>
      </c>
      <c r="BR22" s="9">
        <f t="shared" si="26"/>
        <v>1217700.3715554189</v>
      </c>
      <c r="BS22" s="142">
        <f t="shared" si="36"/>
        <v>867758.74257317395</v>
      </c>
      <c r="BT22" s="83">
        <f t="shared" si="27"/>
        <v>867759</v>
      </c>
      <c r="BU22" s="175">
        <f t="shared" si="28"/>
        <v>8.4730009337594071E-4</v>
      </c>
      <c r="BV22" s="173">
        <f t="shared" si="29"/>
        <v>207691.27000000002</v>
      </c>
      <c r="BW22" s="176">
        <f t="shared" si="30"/>
        <v>1.2109079812873992E-3</v>
      </c>
      <c r="BX22" s="177">
        <f t="shared" si="31"/>
        <v>0</v>
      </c>
      <c r="BY22" s="178">
        <f t="shared" si="32"/>
        <v>0</v>
      </c>
      <c r="BZ22" s="4"/>
      <c r="CA22" s="4"/>
      <c r="CB22" s="4"/>
      <c r="CC22" s="4"/>
      <c r="CD22" s="4"/>
      <c r="CE22" s="4"/>
      <c r="CF22" s="4"/>
      <c r="CG22" s="126">
        <f t="shared" si="33"/>
        <v>680231.33979704999</v>
      </c>
      <c r="CH22" s="126">
        <f t="shared" si="34"/>
        <v>280160.79020295001</v>
      </c>
      <c r="CI22" s="126"/>
      <c r="CJ22" s="126"/>
      <c r="CK22" s="9"/>
      <c r="CL22" s="9"/>
      <c r="CM22" s="127"/>
      <c r="CN22" s="9"/>
      <c r="CO22" s="9"/>
      <c r="CP22" s="9"/>
      <c r="CQ22" s="126"/>
      <c r="CR22" s="126"/>
      <c r="CS22" s="126"/>
      <c r="CT22" s="126"/>
      <c r="CU22" s="126"/>
      <c r="CV22" s="9"/>
      <c r="CW22" s="9"/>
      <c r="CX22" s="127"/>
      <c r="CY22" s="67"/>
      <c r="CZ22" s="67"/>
    </row>
    <row r="23" spans="1:104" x14ac:dyDescent="0.35">
      <c r="A23" s="143">
        <v>18</v>
      </c>
      <c r="B23" s="116" t="s">
        <v>471</v>
      </c>
      <c r="C23" s="144">
        <v>13449597.199533256</v>
      </c>
      <c r="D23" s="144">
        <v>1385817.99</v>
      </c>
      <c r="E23" s="144">
        <v>343127.73</v>
      </c>
      <c r="F23" s="145">
        <f t="shared" si="7"/>
        <v>1728945.72</v>
      </c>
      <c r="G23" s="144"/>
      <c r="H23" s="144"/>
      <c r="I23" s="145"/>
      <c r="J23" s="144">
        <v>298331.75</v>
      </c>
      <c r="K23" s="144">
        <v>69326.59</v>
      </c>
      <c r="L23" s="145">
        <f t="shared" si="8"/>
        <v>367658.33999999997</v>
      </c>
      <c r="M23" s="146">
        <v>134630.04</v>
      </c>
      <c r="N23" s="146">
        <v>57710.11</v>
      </c>
      <c r="O23" s="145">
        <f t="shared" si="9"/>
        <v>192340.15000000002</v>
      </c>
      <c r="P23" s="144">
        <v>835951.92</v>
      </c>
      <c r="Q23" s="144">
        <v>358336.61</v>
      </c>
      <c r="R23" s="147">
        <f t="shared" si="10"/>
        <v>1194288.53</v>
      </c>
      <c r="S23" s="117">
        <v>0</v>
      </c>
      <c r="T23" s="117">
        <v>0</v>
      </c>
      <c r="U23" s="146">
        <v>0</v>
      </c>
      <c r="V23" s="146">
        <v>0</v>
      </c>
      <c r="W23" s="4"/>
      <c r="X23" s="4"/>
      <c r="Y23" s="4"/>
      <c r="Z23" s="4"/>
      <c r="AA23" s="4"/>
      <c r="AB23" s="4"/>
      <c r="AC23" s="4"/>
      <c r="AD23" s="4"/>
      <c r="AE23" s="4"/>
      <c r="AF23" s="118">
        <f t="shared" si="11"/>
        <v>367658.33999999997</v>
      </c>
      <c r="AG23" s="112">
        <f t="shared" si="11"/>
        <v>134630.04</v>
      </c>
      <c r="AH23" s="112">
        <f t="shared" si="11"/>
        <v>57710.11</v>
      </c>
      <c r="AI23" s="10">
        <f t="shared" si="12"/>
        <v>112323.28234303</v>
      </c>
      <c r="AJ23" s="10">
        <f t="shared" si="13"/>
        <v>41202.433046819999</v>
      </c>
      <c r="AK23" s="10">
        <f t="shared" si="14"/>
        <v>358.32969945000002</v>
      </c>
      <c r="AL23" s="10">
        <f t="shared" si="15"/>
        <v>38456.1049107</v>
      </c>
      <c r="AM23" s="10">
        <f t="shared" si="16"/>
        <v>0</v>
      </c>
      <c r="AN23" s="9">
        <f t="shared" si="17"/>
        <v>0</v>
      </c>
      <c r="AO23" s="10">
        <f t="shared" si="18"/>
        <v>0</v>
      </c>
      <c r="AP23" s="66">
        <f t="shared" si="19"/>
        <v>1138954.6492878408</v>
      </c>
      <c r="AQ23" s="66">
        <f t="shared" si="20"/>
        <v>394620.93915897084</v>
      </c>
      <c r="AR23" s="66">
        <f t="shared" si="21"/>
        <v>3676.5926008599763</v>
      </c>
      <c r="AS23" s="66">
        <f t="shared" si="22"/>
        <v>91914.815021499409</v>
      </c>
      <c r="AT23" s="66"/>
      <c r="AU23" s="4"/>
      <c r="AV23" s="4"/>
      <c r="AW23" s="4"/>
      <c r="AX23" s="4"/>
      <c r="AY23" s="4"/>
      <c r="AZ23" s="4"/>
      <c r="BA23" s="4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9">
        <f t="shared" si="4"/>
        <v>2189165.4860691708</v>
      </c>
      <c r="BN23" s="9">
        <f t="shared" si="35"/>
        <v>1684354.9757005419</v>
      </c>
      <c r="BO23" s="9">
        <f t="shared" si="23"/>
        <v>500775.58806831937</v>
      </c>
      <c r="BP23" s="9">
        <f t="shared" si="24"/>
        <v>4034.9223003099764</v>
      </c>
      <c r="BQ23" s="10">
        <f t="shared" si="25"/>
        <v>0</v>
      </c>
      <c r="BR23" s="9">
        <f t="shared" si="26"/>
        <v>2189165.4860691712</v>
      </c>
      <c r="BS23" s="142">
        <f t="shared" si="36"/>
        <v>1533575.5884468118</v>
      </c>
      <c r="BT23" s="83">
        <f t="shared" si="27"/>
        <v>1533576</v>
      </c>
      <c r="BU23" s="175">
        <f t="shared" si="28"/>
        <v>1.4974193581005319E-3</v>
      </c>
      <c r="BV23" s="173">
        <f t="shared" si="29"/>
        <v>367658.33999999997</v>
      </c>
      <c r="BW23" s="176">
        <f t="shared" si="30"/>
        <v>2.1435682794605482E-3</v>
      </c>
      <c r="BX23" s="177">
        <f t="shared" si="31"/>
        <v>0</v>
      </c>
      <c r="BY23" s="178">
        <f t="shared" si="32"/>
        <v>0</v>
      </c>
      <c r="BZ23" s="4"/>
      <c r="CA23" s="4"/>
      <c r="CB23" s="4"/>
      <c r="CC23" s="4"/>
      <c r="CD23" s="4"/>
      <c r="CE23" s="4"/>
      <c r="CF23" s="4"/>
      <c r="CG23" s="126">
        <f t="shared" si="33"/>
        <v>1224586.3192902</v>
      </c>
      <c r="CH23" s="126">
        <f t="shared" si="34"/>
        <v>504359.40070980001</v>
      </c>
      <c r="CI23" s="126"/>
      <c r="CJ23" s="126"/>
      <c r="CK23" s="9"/>
      <c r="CL23" s="9"/>
      <c r="CM23" s="127"/>
      <c r="CN23" s="9"/>
      <c r="CO23" s="9"/>
      <c r="CP23" s="9"/>
      <c r="CQ23" s="126"/>
      <c r="CR23" s="126"/>
      <c r="CS23" s="126"/>
      <c r="CT23" s="126"/>
      <c r="CU23" s="126"/>
      <c r="CV23" s="9"/>
      <c r="CW23" s="9"/>
      <c r="CX23" s="127"/>
      <c r="CY23" s="67"/>
      <c r="CZ23" s="67"/>
    </row>
    <row r="24" spans="1:104" x14ac:dyDescent="0.35">
      <c r="A24" s="143">
        <v>19</v>
      </c>
      <c r="B24" s="116" t="s">
        <v>472</v>
      </c>
      <c r="C24" s="144">
        <v>21533767.016725011</v>
      </c>
      <c r="D24" s="144">
        <v>1814219.97</v>
      </c>
      <c r="E24" s="144">
        <v>953945.78</v>
      </c>
      <c r="F24" s="145">
        <f t="shared" si="7"/>
        <v>2768165.75</v>
      </c>
      <c r="G24" s="144"/>
      <c r="H24" s="144"/>
      <c r="I24" s="145"/>
      <c r="J24" s="144">
        <v>399990.27</v>
      </c>
      <c r="K24" s="144">
        <v>189067.83</v>
      </c>
      <c r="L24" s="145">
        <f t="shared" si="8"/>
        <v>589058.1</v>
      </c>
      <c r="M24" s="146">
        <v>125611.6</v>
      </c>
      <c r="N24" s="146">
        <v>180147.66</v>
      </c>
      <c r="O24" s="145">
        <f t="shared" si="9"/>
        <v>305759.26</v>
      </c>
      <c r="P24" s="144">
        <v>779954.58</v>
      </c>
      <c r="Q24" s="144">
        <v>1118582.56</v>
      </c>
      <c r="R24" s="147">
        <f t="shared" si="10"/>
        <v>1898537.1400000001</v>
      </c>
      <c r="S24" s="117">
        <v>0</v>
      </c>
      <c r="T24" s="117">
        <v>0</v>
      </c>
      <c r="U24" s="146">
        <v>0</v>
      </c>
      <c r="V24" s="146">
        <v>0</v>
      </c>
      <c r="W24" s="4"/>
      <c r="X24" s="4"/>
      <c r="Y24" s="4"/>
      <c r="Z24" s="4"/>
      <c r="AA24" s="4"/>
      <c r="AB24" s="4"/>
      <c r="AC24" s="4"/>
      <c r="AD24" s="4"/>
      <c r="AE24" s="4"/>
      <c r="AF24" s="118">
        <f t="shared" si="11"/>
        <v>589058.1</v>
      </c>
      <c r="AG24" s="112">
        <f t="shared" si="11"/>
        <v>125611.6</v>
      </c>
      <c r="AH24" s="112">
        <f t="shared" si="11"/>
        <v>180147.66</v>
      </c>
      <c r="AI24" s="10">
        <f t="shared" si="12"/>
        <v>184047.5178119</v>
      </c>
      <c r="AJ24" s="10">
        <f t="shared" si="13"/>
        <v>60009.217760839994</v>
      </c>
      <c r="AK24" s="10">
        <f t="shared" si="14"/>
        <v>569.62950137999997</v>
      </c>
      <c r="AL24" s="10">
        <f t="shared" si="15"/>
        <v>61132.894925880006</v>
      </c>
      <c r="AM24" s="10">
        <f t="shared" si="16"/>
        <v>0</v>
      </c>
      <c r="AN24" s="9">
        <f t="shared" si="17"/>
        <v>0</v>
      </c>
      <c r="AO24" s="10">
        <f t="shared" si="18"/>
        <v>0</v>
      </c>
      <c r="AP24" s="66">
        <f t="shared" si="19"/>
        <v>1850810.0055898535</v>
      </c>
      <c r="AQ24" s="66">
        <f t="shared" si="20"/>
        <v>632254.40203054529</v>
      </c>
      <c r="AR24" s="66">
        <f t="shared" si="21"/>
        <v>5890.568963017502</v>
      </c>
      <c r="AS24" s="66">
        <f t="shared" si="22"/>
        <v>147264.22407543758</v>
      </c>
      <c r="AT24" s="66"/>
      <c r="AU24" s="4"/>
      <c r="AV24" s="4"/>
      <c r="AW24" s="4"/>
      <c r="AX24" s="4"/>
      <c r="AY24" s="4"/>
      <c r="AZ24" s="4"/>
      <c r="BA24" s="4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9">
        <f t="shared" si="4"/>
        <v>3531036.560658854</v>
      </c>
      <c r="BN24" s="9">
        <f t="shared" si="35"/>
        <v>2728244.8203581786</v>
      </c>
      <c r="BO24" s="9">
        <f t="shared" si="23"/>
        <v>796331.54183627758</v>
      </c>
      <c r="BP24" s="9">
        <f t="shared" si="24"/>
        <v>6460.198464397502</v>
      </c>
      <c r="BQ24" s="10">
        <f t="shared" si="25"/>
        <v>0</v>
      </c>
      <c r="BR24" s="9">
        <f t="shared" si="26"/>
        <v>3531036.5606588535</v>
      </c>
      <c r="BS24" s="142">
        <f t="shared" si="36"/>
        <v>2483064.4076203988</v>
      </c>
      <c r="BT24" s="83">
        <f t="shared" si="27"/>
        <v>2483064</v>
      </c>
      <c r="BU24" s="175">
        <f t="shared" si="28"/>
        <v>2.4245226250288422E-3</v>
      </c>
      <c r="BV24" s="173">
        <f t="shared" si="29"/>
        <v>589058.1</v>
      </c>
      <c r="BW24" s="176">
        <f t="shared" si="30"/>
        <v>3.4344012376253986E-3</v>
      </c>
      <c r="BX24" s="177">
        <f t="shared" si="31"/>
        <v>0</v>
      </c>
      <c r="BY24" s="178">
        <f t="shared" si="32"/>
        <v>0</v>
      </c>
      <c r="BZ24" s="4"/>
      <c r="CA24" s="4"/>
      <c r="CB24" s="4"/>
      <c r="CC24" s="4"/>
      <c r="CD24" s="4"/>
      <c r="CE24" s="4"/>
      <c r="CF24" s="4"/>
      <c r="CG24" s="126">
        <f t="shared" si="33"/>
        <v>1960650.2782387501</v>
      </c>
      <c r="CH24" s="126">
        <f t="shared" si="34"/>
        <v>807515.47176124994</v>
      </c>
      <c r="CI24" s="126"/>
      <c r="CJ24" s="126"/>
      <c r="CK24" s="9"/>
      <c r="CL24" s="9"/>
      <c r="CM24" s="127"/>
      <c r="CN24" s="9"/>
      <c r="CO24" s="9"/>
      <c r="CP24" s="9"/>
      <c r="CQ24" s="126"/>
      <c r="CR24" s="126"/>
      <c r="CS24" s="126"/>
      <c r="CT24" s="126"/>
      <c r="CU24" s="126"/>
      <c r="CV24" s="9"/>
      <c r="CW24" s="9"/>
      <c r="CX24" s="127"/>
      <c r="CY24" s="67"/>
      <c r="CZ24" s="67"/>
    </row>
    <row r="25" spans="1:104" x14ac:dyDescent="0.35">
      <c r="A25" s="143">
        <v>20</v>
      </c>
      <c r="B25" s="116" t="s">
        <v>473</v>
      </c>
      <c r="C25" s="144">
        <v>3467773.3177751848</v>
      </c>
      <c r="D25" s="144">
        <v>323752.24</v>
      </c>
      <c r="E25" s="144">
        <v>122030.02</v>
      </c>
      <c r="F25" s="145">
        <f t="shared" si="7"/>
        <v>445782.26</v>
      </c>
      <c r="G25" s="144"/>
      <c r="H25" s="144"/>
      <c r="I25" s="145"/>
      <c r="J25" s="144">
        <v>69860.94</v>
      </c>
      <c r="K25" s="144">
        <v>27088.78</v>
      </c>
      <c r="L25" s="145">
        <f t="shared" si="8"/>
        <v>96949.72</v>
      </c>
      <c r="M25" s="146">
        <v>30565.81</v>
      </c>
      <c r="N25" s="146">
        <v>7459.11</v>
      </c>
      <c r="O25" s="145">
        <f t="shared" si="9"/>
        <v>38024.92</v>
      </c>
      <c r="P25" s="144">
        <v>189790.11</v>
      </c>
      <c r="Q25" s="144">
        <v>46315.199999999997</v>
      </c>
      <c r="R25" s="147">
        <f t="shared" si="10"/>
        <v>236105.31</v>
      </c>
      <c r="S25" s="117">
        <v>0</v>
      </c>
      <c r="T25" s="117">
        <v>0</v>
      </c>
      <c r="U25" s="146">
        <v>0</v>
      </c>
      <c r="V25" s="146">
        <v>0</v>
      </c>
      <c r="W25" s="4"/>
      <c r="X25" s="4"/>
      <c r="Y25" s="4"/>
      <c r="Z25" s="4"/>
      <c r="AA25" s="4"/>
      <c r="AB25" s="4"/>
      <c r="AC25" s="4"/>
      <c r="AD25" s="4"/>
      <c r="AE25" s="4"/>
      <c r="AF25" s="118">
        <f t="shared" si="11"/>
        <v>96949.72</v>
      </c>
      <c r="AG25" s="112">
        <f t="shared" si="11"/>
        <v>30565.81</v>
      </c>
      <c r="AH25" s="112">
        <f t="shared" si="11"/>
        <v>7459.11</v>
      </c>
      <c r="AI25" s="10">
        <f t="shared" si="12"/>
        <v>21960.623089070003</v>
      </c>
      <c r="AJ25" s="10">
        <f t="shared" si="13"/>
        <v>8390.83003001</v>
      </c>
      <c r="AK25" s="10">
        <f t="shared" si="14"/>
        <v>70.840425960000005</v>
      </c>
      <c r="AL25" s="10">
        <f t="shared" si="15"/>
        <v>7602.62645496</v>
      </c>
      <c r="AM25" s="10">
        <f t="shared" si="16"/>
        <v>0</v>
      </c>
      <c r="AN25" s="9">
        <f t="shared" si="17"/>
        <v>0</v>
      </c>
      <c r="AO25" s="10">
        <f t="shared" si="18"/>
        <v>0</v>
      </c>
      <c r="AP25" s="66">
        <f t="shared" si="19"/>
        <v>303273.02602002712</v>
      </c>
      <c r="AQ25" s="66">
        <f t="shared" si="20"/>
        <v>104059.70985036096</v>
      </c>
      <c r="AR25" s="66">
        <f t="shared" si="21"/>
        <v>969.5004023325555</v>
      </c>
      <c r="AS25" s="66">
        <f t="shared" si="22"/>
        <v>24237.510058313885</v>
      </c>
      <c r="AT25" s="66"/>
      <c r="AU25" s="4"/>
      <c r="AV25" s="4"/>
      <c r="AW25" s="4"/>
      <c r="AX25" s="4"/>
      <c r="AY25" s="4"/>
      <c r="AZ25" s="4"/>
      <c r="BA25" s="4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9">
        <f t="shared" si="4"/>
        <v>567514.38633103448</v>
      </c>
      <c r="BN25" s="9">
        <f t="shared" si="35"/>
        <v>436895.98541441804</v>
      </c>
      <c r="BO25" s="9">
        <f t="shared" si="23"/>
        <v>129578.06008832388</v>
      </c>
      <c r="BP25" s="9">
        <f t="shared" si="24"/>
        <v>1040.3408282925554</v>
      </c>
      <c r="BQ25" s="10">
        <f t="shared" si="25"/>
        <v>0</v>
      </c>
      <c r="BR25" s="9">
        <f t="shared" si="26"/>
        <v>567514.38633103448</v>
      </c>
      <c r="BS25" s="142">
        <f t="shared" si="36"/>
        <v>407332.7358703881</v>
      </c>
      <c r="BT25" s="83">
        <f t="shared" si="27"/>
        <v>407333</v>
      </c>
      <c r="BU25" s="175">
        <f t="shared" si="28"/>
        <v>3.9772928603937842E-4</v>
      </c>
      <c r="BV25" s="173">
        <f t="shared" si="29"/>
        <v>96949.72</v>
      </c>
      <c r="BW25" s="176">
        <f t="shared" si="30"/>
        <v>5.6524855248647949E-4</v>
      </c>
      <c r="BX25" s="177">
        <f t="shared" si="31"/>
        <v>0</v>
      </c>
      <c r="BY25" s="178">
        <f t="shared" si="32"/>
        <v>0</v>
      </c>
      <c r="BZ25" s="4"/>
      <c r="CA25" s="4"/>
      <c r="CB25" s="4"/>
      <c r="CC25" s="4"/>
      <c r="CD25" s="4"/>
      <c r="CE25" s="4"/>
      <c r="CF25" s="4"/>
      <c r="CG25" s="126">
        <f t="shared" si="33"/>
        <v>315740.88802409999</v>
      </c>
      <c r="CH25" s="126">
        <f t="shared" si="34"/>
        <v>130041.37197590001</v>
      </c>
      <c r="CI25" s="126"/>
      <c r="CJ25" s="126"/>
      <c r="CK25" s="9"/>
      <c r="CL25" s="9"/>
      <c r="CM25" s="127"/>
      <c r="CN25" s="9"/>
      <c r="CO25" s="9"/>
      <c r="CP25" s="9"/>
      <c r="CQ25" s="126"/>
      <c r="CR25" s="126"/>
      <c r="CS25" s="126"/>
      <c r="CT25" s="126"/>
      <c r="CU25" s="126"/>
      <c r="CV25" s="9"/>
      <c r="CW25" s="9"/>
      <c r="CX25" s="127"/>
      <c r="CY25" s="67"/>
      <c r="CZ25" s="67"/>
    </row>
    <row r="26" spans="1:104" x14ac:dyDescent="0.35">
      <c r="A26" s="143">
        <v>21</v>
      </c>
      <c r="B26" s="116" t="s">
        <v>474</v>
      </c>
      <c r="C26" s="144">
        <v>9803483.3916763905</v>
      </c>
      <c r="D26" s="144">
        <v>794927.34</v>
      </c>
      <c r="E26" s="144">
        <v>465310.45</v>
      </c>
      <c r="F26" s="145">
        <f t="shared" si="7"/>
        <v>1260237.79</v>
      </c>
      <c r="G26" s="144"/>
      <c r="H26" s="144"/>
      <c r="I26" s="145"/>
      <c r="J26" s="144">
        <v>163297.17000000001</v>
      </c>
      <c r="K26" s="144">
        <v>95107.03</v>
      </c>
      <c r="L26" s="145">
        <f t="shared" si="8"/>
        <v>258404.2</v>
      </c>
      <c r="M26" s="146">
        <v>119267.97</v>
      </c>
      <c r="N26" s="146">
        <v>72384.960000000006</v>
      </c>
      <c r="O26" s="145">
        <f t="shared" si="9"/>
        <v>191652.93</v>
      </c>
      <c r="P26" s="144">
        <v>740565.81</v>
      </c>
      <c r="Q26" s="144">
        <v>449455.88</v>
      </c>
      <c r="R26" s="147">
        <f t="shared" si="10"/>
        <v>1190021.69</v>
      </c>
      <c r="S26" s="117">
        <v>0</v>
      </c>
      <c r="T26" s="117">
        <v>0</v>
      </c>
      <c r="U26" s="146">
        <v>0</v>
      </c>
      <c r="V26" s="146">
        <v>0</v>
      </c>
      <c r="W26" s="4"/>
      <c r="X26" s="4"/>
      <c r="Y26" s="4"/>
      <c r="Z26" s="4"/>
      <c r="AA26" s="4"/>
      <c r="AB26" s="4"/>
      <c r="AC26" s="4"/>
      <c r="AD26" s="4"/>
      <c r="AE26" s="4"/>
      <c r="AF26" s="118">
        <f t="shared" si="11"/>
        <v>258404.2</v>
      </c>
      <c r="AG26" s="112">
        <f t="shared" si="11"/>
        <v>119267.97</v>
      </c>
      <c r="AH26" s="112">
        <f t="shared" si="11"/>
        <v>72384.960000000006</v>
      </c>
      <c r="AI26" s="10">
        <f t="shared" si="12"/>
        <v>112845.96660263999</v>
      </c>
      <c r="AJ26" s="10">
        <f t="shared" si="13"/>
        <v>40131.21047043</v>
      </c>
      <c r="AK26" s="10">
        <f t="shared" si="14"/>
        <v>357.04940859000004</v>
      </c>
      <c r="AL26" s="10">
        <f t="shared" si="15"/>
        <v>38318.70351834</v>
      </c>
      <c r="AM26" s="10">
        <f t="shared" si="16"/>
        <v>0</v>
      </c>
      <c r="AN26" s="9">
        <f t="shared" si="17"/>
        <v>0</v>
      </c>
      <c r="AO26" s="10">
        <f t="shared" si="18"/>
        <v>0</v>
      </c>
      <c r="AP26" s="66">
        <f t="shared" si="19"/>
        <v>815957.97472301079</v>
      </c>
      <c r="AQ26" s="66">
        <f t="shared" si="20"/>
        <v>277353.46679397975</v>
      </c>
      <c r="AR26" s="66">
        <f t="shared" si="21"/>
        <v>2584.0385105029168</v>
      </c>
      <c r="AS26" s="66">
        <f t="shared" si="22"/>
        <v>64600.962762572934</v>
      </c>
      <c r="AT26" s="66"/>
      <c r="AU26" s="4"/>
      <c r="AV26" s="4"/>
      <c r="AW26" s="4"/>
      <c r="AX26" s="4"/>
      <c r="AY26" s="4"/>
      <c r="AZ26" s="4"/>
      <c r="BA26" s="4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9">
        <f t="shared" si="4"/>
        <v>1610553.5727900665</v>
      </c>
      <c r="BN26" s="9">
        <f t="shared" si="35"/>
        <v>1244476.1116379704</v>
      </c>
      <c r="BO26" s="9">
        <f t="shared" si="23"/>
        <v>363136.37323300296</v>
      </c>
      <c r="BP26" s="9">
        <f t="shared" si="24"/>
        <v>2941.0879190929168</v>
      </c>
      <c r="BQ26" s="10">
        <f t="shared" si="25"/>
        <v>0</v>
      </c>
      <c r="BR26" s="9">
        <f t="shared" si="26"/>
        <v>1610553.5727900665</v>
      </c>
      <c r="BS26" s="142">
        <f t="shared" si="36"/>
        <v>1093311.4415169905</v>
      </c>
      <c r="BT26" s="83">
        <f t="shared" si="27"/>
        <v>1093311</v>
      </c>
      <c r="BU26" s="175">
        <f t="shared" si="28"/>
        <v>1.0675350659555178E-3</v>
      </c>
      <c r="BV26" s="173">
        <f t="shared" si="29"/>
        <v>258404.2</v>
      </c>
      <c r="BW26" s="176">
        <f t="shared" si="30"/>
        <v>1.5065809370715744E-3</v>
      </c>
      <c r="BX26" s="177">
        <f t="shared" si="31"/>
        <v>0</v>
      </c>
      <c r="BY26" s="178">
        <f t="shared" si="32"/>
        <v>0</v>
      </c>
      <c r="BZ26" s="4"/>
      <c r="CA26" s="4"/>
      <c r="CB26" s="4"/>
      <c r="CC26" s="4"/>
      <c r="CD26" s="4"/>
      <c r="CE26" s="4"/>
      <c r="CF26" s="4"/>
      <c r="CG26" s="126">
        <f t="shared" si="33"/>
        <v>892607.52309014997</v>
      </c>
      <c r="CH26" s="126">
        <f t="shared" si="34"/>
        <v>367630.26690985</v>
      </c>
      <c r="CI26" s="126"/>
      <c r="CJ26" s="126"/>
      <c r="CK26" s="9"/>
      <c r="CL26" s="9"/>
      <c r="CM26" s="127"/>
      <c r="CN26" s="9"/>
      <c r="CO26" s="9"/>
      <c r="CP26" s="9"/>
      <c r="CQ26" s="126"/>
      <c r="CR26" s="126"/>
      <c r="CS26" s="126"/>
      <c r="CT26" s="126"/>
      <c r="CU26" s="126"/>
      <c r="CV26" s="9"/>
      <c r="CW26" s="9"/>
      <c r="CX26" s="127"/>
      <c r="CY26" s="67"/>
      <c r="CZ26" s="67"/>
    </row>
    <row r="27" spans="1:104" x14ac:dyDescent="0.35">
      <c r="A27" s="143">
        <v>22</v>
      </c>
      <c r="B27" s="116" t="s">
        <v>475</v>
      </c>
      <c r="C27" s="144">
        <v>18505286.58109685</v>
      </c>
      <c r="D27" s="144">
        <v>1845368.01</v>
      </c>
      <c r="E27" s="144">
        <v>533486.57999999996</v>
      </c>
      <c r="F27" s="145">
        <f t="shared" si="7"/>
        <v>2378854.59</v>
      </c>
      <c r="G27" s="144"/>
      <c r="H27" s="144"/>
      <c r="I27" s="145"/>
      <c r="J27" s="144">
        <v>398683.75</v>
      </c>
      <c r="K27" s="144">
        <v>99766.7</v>
      </c>
      <c r="L27" s="145">
        <f t="shared" si="8"/>
        <v>498450.45</v>
      </c>
      <c r="M27" s="146">
        <v>171640.18</v>
      </c>
      <c r="N27" s="146">
        <v>132788.57999999999</v>
      </c>
      <c r="O27" s="145">
        <f t="shared" si="9"/>
        <v>304428.76</v>
      </c>
      <c r="P27" s="144">
        <v>1065757.1299999999</v>
      </c>
      <c r="Q27" s="144">
        <v>824517.39</v>
      </c>
      <c r="R27" s="147">
        <f t="shared" si="10"/>
        <v>1890274.52</v>
      </c>
      <c r="S27" s="117">
        <v>0</v>
      </c>
      <c r="T27" s="117">
        <v>0</v>
      </c>
      <c r="U27" s="146">
        <v>0</v>
      </c>
      <c r="V27" s="146">
        <v>0</v>
      </c>
      <c r="W27" s="4"/>
      <c r="X27" s="4"/>
      <c r="Y27" s="4"/>
      <c r="Z27" s="4"/>
      <c r="AA27" s="4"/>
      <c r="AB27" s="4"/>
      <c r="AC27" s="4"/>
      <c r="AD27" s="4"/>
      <c r="AE27" s="4"/>
      <c r="AF27" s="118">
        <f t="shared" si="11"/>
        <v>498450.45</v>
      </c>
      <c r="AG27" s="112">
        <f t="shared" si="11"/>
        <v>171640.18</v>
      </c>
      <c r="AH27" s="112">
        <f t="shared" si="11"/>
        <v>132788.57999999999</v>
      </c>
      <c r="AI27" s="10">
        <f t="shared" si="12"/>
        <v>180354.64962145998</v>
      </c>
      <c r="AJ27" s="10">
        <f t="shared" si="13"/>
        <v>62640.082181779988</v>
      </c>
      <c r="AK27" s="10">
        <f t="shared" si="14"/>
        <v>567.15077988000007</v>
      </c>
      <c r="AL27" s="10">
        <f t="shared" si="15"/>
        <v>60866.877416879994</v>
      </c>
      <c r="AM27" s="10">
        <f t="shared" si="16"/>
        <v>0</v>
      </c>
      <c r="AN27" s="9">
        <f t="shared" si="17"/>
        <v>0</v>
      </c>
      <c r="AO27" s="10">
        <f t="shared" si="18"/>
        <v>0</v>
      </c>
      <c r="AP27" s="66">
        <f t="shared" si="19"/>
        <v>1546051.9916490994</v>
      </c>
      <c r="AQ27" s="66">
        <f t="shared" si="20"/>
        <v>535003.38836731855</v>
      </c>
      <c r="AR27" s="66">
        <f t="shared" si="21"/>
        <v>4984.5036183290549</v>
      </c>
      <c r="AS27" s="66">
        <f t="shared" si="22"/>
        <v>124612.59045822636</v>
      </c>
      <c r="AT27" s="66"/>
      <c r="AU27" s="4"/>
      <c r="AV27" s="4"/>
      <c r="AW27" s="4"/>
      <c r="AX27" s="4"/>
      <c r="AY27" s="4"/>
      <c r="AZ27" s="4"/>
      <c r="BA27" s="4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9">
        <f t="shared" si="4"/>
        <v>3013531.6840929734</v>
      </c>
      <c r="BN27" s="9">
        <f t="shared" si="35"/>
        <v>2322276.9070547577</v>
      </c>
      <c r="BO27" s="9">
        <f t="shared" si="23"/>
        <v>685703.12264000636</v>
      </c>
      <c r="BP27" s="9">
        <f t="shared" si="24"/>
        <v>5551.6543982090552</v>
      </c>
      <c r="BQ27" s="10">
        <f t="shared" si="25"/>
        <v>0</v>
      </c>
      <c r="BR27" s="9">
        <f t="shared" si="26"/>
        <v>3013531.6840929729</v>
      </c>
      <c r="BS27" s="142">
        <f t="shared" si="36"/>
        <v>2081055.3800164179</v>
      </c>
      <c r="BT27" s="83">
        <f t="shared" si="27"/>
        <v>2081055</v>
      </c>
      <c r="BU27" s="175">
        <f t="shared" si="28"/>
        <v>2.0319915332454586E-3</v>
      </c>
      <c r="BV27" s="173">
        <f t="shared" si="29"/>
        <v>498450.45</v>
      </c>
      <c r="BW27" s="176">
        <f t="shared" si="30"/>
        <v>2.9061290259397793E-3</v>
      </c>
      <c r="BX27" s="177">
        <f t="shared" si="31"/>
        <v>0</v>
      </c>
      <c r="BY27" s="178">
        <f t="shared" si="32"/>
        <v>0</v>
      </c>
      <c r="BZ27" s="4"/>
      <c r="CA27" s="4"/>
      <c r="CB27" s="4"/>
      <c r="CC27" s="4"/>
      <c r="CD27" s="4"/>
      <c r="CE27" s="4"/>
      <c r="CF27" s="4"/>
      <c r="CG27" s="126">
        <f t="shared" si="33"/>
        <v>1684907.0232781502</v>
      </c>
      <c r="CH27" s="126">
        <f t="shared" si="34"/>
        <v>693947.56672184996</v>
      </c>
      <c r="CI27" s="126"/>
      <c r="CJ27" s="126"/>
      <c r="CK27" s="9"/>
      <c r="CL27" s="9"/>
      <c r="CM27" s="127"/>
      <c r="CN27" s="9"/>
      <c r="CO27" s="9"/>
      <c r="CP27" s="9"/>
      <c r="CQ27" s="126"/>
      <c r="CR27" s="126"/>
      <c r="CS27" s="126"/>
      <c r="CT27" s="126"/>
      <c r="CU27" s="126"/>
      <c r="CV27" s="9"/>
      <c r="CW27" s="9"/>
      <c r="CX27" s="127"/>
      <c r="CY27" s="67"/>
      <c r="CZ27" s="67"/>
    </row>
    <row r="28" spans="1:104" x14ac:dyDescent="0.35">
      <c r="A28" s="143">
        <v>23</v>
      </c>
      <c r="B28" s="116" t="s">
        <v>476</v>
      </c>
      <c r="C28" s="144">
        <v>9879936.9117075056</v>
      </c>
      <c r="D28" s="144">
        <v>1032341.14</v>
      </c>
      <c r="E28" s="144">
        <v>237724.75</v>
      </c>
      <c r="F28" s="145">
        <f t="shared" si="7"/>
        <v>1270065.8900000001</v>
      </c>
      <c r="G28" s="144"/>
      <c r="H28" s="144"/>
      <c r="I28" s="145"/>
      <c r="J28" s="144">
        <v>204929.96</v>
      </c>
      <c r="K28" s="144">
        <v>42164.08</v>
      </c>
      <c r="L28" s="145">
        <f t="shared" si="8"/>
        <v>247094.03999999998</v>
      </c>
      <c r="M28" s="146">
        <v>193205.78</v>
      </c>
      <c r="N28" s="146">
        <v>71476.070000000007</v>
      </c>
      <c r="O28" s="145">
        <f t="shared" si="9"/>
        <v>264681.84999999998</v>
      </c>
      <c r="P28" s="144">
        <v>1199663.1599999999</v>
      </c>
      <c r="Q28" s="144">
        <v>443813.53</v>
      </c>
      <c r="R28" s="147">
        <f t="shared" si="10"/>
        <v>1643476.69</v>
      </c>
      <c r="S28" s="117">
        <v>0</v>
      </c>
      <c r="T28" s="117">
        <v>0</v>
      </c>
      <c r="U28" s="146">
        <v>0</v>
      </c>
      <c r="V28" s="146">
        <v>0</v>
      </c>
      <c r="W28" s="4"/>
      <c r="X28" s="4"/>
      <c r="Y28" s="4"/>
      <c r="Z28" s="4"/>
      <c r="AA28" s="4"/>
      <c r="AB28" s="4"/>
      <c r="AC28" s="4"/>
      <c r="AD28" s="4"/>
      <c r="AE28" s="4"/>
      <c r="AF28" s="118">
        <f t="shared" si="11"/>
        <v>247094.03999999998</v>
      </c>
      <c r="AG28" s="112">
        <f t="shared" si="11"/>
        <v>193205.78</v>
      </c>
      <c r="AH28" s="112">
        <f t="shared" si="11"/>
        <v>71476.070000000007</v>
      </c>
      <c r="AI28" s="10">
        <f t="shared" si="12"/>
        <v>154076.57687570999</v>
      </c>
      <c r="AJ28" s="10">
        <f t="shared" si="13"/>
        <v>57192.211112439996</v>
      </c>
      <c r="AK28" s="10">
        <f t="shared" si="14"/>
        <v>493.10228655000003</v>
      </c>
      <c r="AL28" s="10">
        <f t="shared" si="15"/>
        <v>52919.959725299996</v>
      </c>
      <c r="AM28" s="10">
        <f t="shared" si="16"/>
        <v>0</v>
      </c>
      <c r="AN28" s="9">
        <f t="shared" si="17"/>
        <v>0</v>
      </c>
      <c r="AO28" s="10">
        <f t="shared" si="18"/>
        <v>0</v>
      </c>
      <c r="AP28" s="66">
        <f t="shared" si="19"/>
        <v>763984.35279506445</v>
      </c>
      <c r="AQ28" s="66">
        <f t="shared" si="20"/>
        <v>265214.0191389817</v>
      </c>
      <c r="AR28" s="66">
        <f t="shared" si="21"/>
        <v>2470.9380665122517</v>
      </c>
      <c r="AS28" s="66">
        <f t="shared" si="22"/>
        <v>61773.451662806307</v>
      </c>
      <c r="AT28" s="66"/>
      <c r="AU28" s="4"/>
      <c r="AV28" s="4"/>
      <c r="AW28" s="4"/>
      <c r="AX28" s="4"/>
      <c r="AY28" s="4"/>
      <c r="AZ28" s="4"/>
      <c r="BA28" s="4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9">
        <f t="shared" si="4"/>
        <v>1605218.6516633648</v>
      </c>
      <c r="BN28" s="9">
        <f t="shared" si="35"/>
        <v>1236194.9085350563</v>
      </c>
      <c r="BO28" s="9">
        <f t="shared" si="23"/>
        <v>366059.70277524629</v>
      </c>
      <c r="BP28" s="9">
        <f t="shared" si="24"/>
        <v>2964.0403530622516</v>
      </c>
      <c r="BQ28" s="10">
        <f t="shared" si="25"/>
        <v>0</v>
      </c>
      <c r="BR28" s="9">
        <f t="shared" si="26"/>
        <v>1605218.6516633648</v>
      </c>
      <c r="BS28" s="142">
        <f t="shared" si="36"/>
        <v>1029198.3719340462</v>
      </c>
      <c r="BT28" s="83">
        <f t="shared" si="27"/>
        <v>1029198</v>
      </c>
      <c r="BU28" s="175">
        <f t="shared" si="28"/>
        <v>1.0049335533701621E-3</v>
      </c>
      <c r="BV28" s="173">
        <f t="shared" si="29"/>
        <v>247094.03999999998</v>
      </c>
      <c r="BW28" s="176">
        <f t="shared" si="30"/>
        <v>1.440639007910866E-3</v>
      </c>
      <c r="BX28" s="177">
        <f t="shared" si="31"/>
        <v>0</v>
      </c>
      <c r="BY28" s="178">
        <f t="shared" si="32"/>
        <v>0</v>
      </c>
      <c r="BZ28" s="4"/>
      <c r="CA28" s="4"/>
      <c r="CB28" s="4"/>
      <c r="CC28" s="4"/>
      <c r="CD28" s="4"/>
      <c r="CE28" s="4"/>
      <c r="CF28" s="4"/>
      <c r="CG28" s="126">
        <f t="shared" si="33"/>
        <v>899568.61889865005</v>
      </c>
      <c r="CH28" s="126">
        <f t="shared" si="34"/>
        <v>370497.27110135002</v>
      </c>
      <c r="CI28" s="126"/>
      <c r="CJ28" s="126"/>
      <c r="CK28" s="9"/>
      <c r="CL28" s="9"/>
      <c r="CM28" s="127"/>
      <c r="CN28" s="9"/>
      <c r="CO28" s="9"/>
      <c r="CP28" s="9"/>
      <c r="CQ28" s="126"/>
      <c r="CR28" s="126"/>
      <c r="CS28" s="126"/>
      <c r="CT28" s="126"/>
      <c r="CU28" s="126"/>
      <c r="CV28" s="9"/>
      <c r="CW28" s="9"/>
      <c r="CX28" s="127"/>
      <c r="CY28" s="67"/>
      <c r="CZ28" s="67"/>
    </row>
    <row r="29" spans="1:104" x14ac:dyDescent="0.35">
      <c r="A29" s="143">
        <v>24</v>
      </c>
      <c r="B29" s="116" t="s">
        <v>477</v>
      </c>
      <c r="C29" s="144">
        <v>36545017.269544922</v>
      </c>
      <c r="D29" s="144">
        <v>3064293.03</v>
      </c>
      <c r="E29" s="144">
        <v>1633568.94</v>
      </c>
      <c r="F29" s="145">
        <f t="shared" si="7"/>
        <v>4697861.97</v>
      </c>
      <c r="G29" s="144"/>
      <c r="H29" s="144"/>
      <c r="I29" s="145"/>
      <c r="J29" s="144">
        <v>651788.09</v>
      </c>
      <c r="K29" s="144">
        <v>327253.65000000002</v>
      </c>
      <c r="L29" s="145">
        <f t="shared" si="8"/>
        <v>979041.74</v>
      </c>
      <c r="M29" s="146">
        <v>339985.79</v>
      </c>
      <c r="N29" s="146">
        <v>289764.56</v>
      </c>
      <c r="O29" s="145">
        <f t="shared" si="9"/>
        <v>629750.35</v>
      </c>
      <c r="P29" s="144">
        <v>2111060.67</v>
      </c>
      <c r="Q29" s="144">
        <v>1799221.74</v>
      </c>
      <c r="R29" s="147">
        <f t="shared" si="10"/>
        <v>3910282.41</v>
      </c>
      <c r="S29" s="117">
        <v>12566.83</v>
      </c>
      <c r="T29" s="117">
        <v>0</v>
      </c>
      <c r="U29" s="146">
        <v>0</v>
      </c>
      <c r="V29" s="146">
        <v>0</v>
      </c>
      <c r="W29" s="4"/>
      <c r="X29" s="4"/>
      <c r="Y29" s="4"/>
      <c r="Z29" s="4"/>
      <c r="AA29" s="4"/>
      <c r="AB29" s="4"/>
      <c r="AC29" s="4"/>
      <c r="AD29" s="4"/>
      <c r="AE29" s="4"/>
      <c r="AF29" s="118">
        <f t="shared" si="11"/>
        <v>979041.74</v>
      </c>
      <c r="AG29" s="112">
        <f t="shared" si="11"/>
        <v>339985.79</v>
      </c>
      <c r="AH29" s="112">
        <f t="shared" si="11"/>
        <v>289764.56</v>
      </c>
      <c r="AI29" s="10">
        <f t="shared" si="12"/>
        <v>374022.97069728002</v>
      </c>
      <c r="AJ29" s="10">
        <f t="shared" si="13"/>
        <v>128643.12892236999</v>
      </c>
      <c r="AK29" s="10">
        <f t="shared" si="14"/>
        <v>1173.2249020499999</v>
      </c>
      <c r="AL29" s="10">
        <f t="shared" si="15"/>
        <v>125911.0254783</v>
      </c>
      <c r="AM29" s="10">
        <f t="shared" si="16"/>
        <v>12566.83</v>
      </c>
      <c r="AN29" s="9">
        <f t="shared" si="17"/>
        <v>0</v>
      </c>
      <c r="AO29" s="10">
        <f t="shared" si="18"/>
        <v>0</v>
      </c>
      <c r="AP29" s="66">
        <f t="shared" si="19"/>
        <v>3080476.9329851358</v>
      </c>
      <c r="AQ29" s="66">
        <f t="shared" si="20"/>
        <v>1050838.4624773464</v>
      </c>
      <c r="AR29" s="66">
        <f t="shared" si="21"/>
        <v>9790.4204578634744</v>
      </c>
      <c r="AS29" s="66">
        <f t="shared" si="22"/>
        <v>244760.51144658687</v>
      </c>
      <c r="AT29" s="66"/>
      <c r="AU29" s="4"/>
      <c r="AV29" s="4"/>
      <c r="AW29" s="4"/>
      <c r="AX29" s="4"/>
      <c r="AY29" s="4"/>
      <c r="AZ29" s="4"/>
      <c r="BA29" s="4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9">
        <f t="shared" si="4"/>
        <v>6007225.2473669332</v>
      </c>
      <c r="BN29" s="9">
        <f t="shared" si="35"/>
        <v>4643816.221638063</v>
      </c>
      <c r="BO29" s="9">
        <f t="shared" si="23"/>
        <v>1352445.3803689568</v>
      </c>
      <c r="BP29" s="9">
        <f t="shared" si="24"/>
        <v>10963.645359913475</v>
      </c>
      <c r="BQ29" s="10">
        <f t="shared" si="25"/>
        <v>0</v>
      </c>
      <c r="BR29" s="9">
        <f t="shared" si="26"/>
        <v>6007225.2473669341</v>
      </c>
      <c r="BS29" s="142">
        <f t="shared" si="36"/>
        <v>4131315.3954624822</v>
      </c>
      <c r="BT29" s="83">
        <f t="shared" si="27"/>
        <v>4131315</v>
      </c>
      <c r="BU29" s="175">
        <f t="shared" si="28"/>
        <v>4.0339137465338131E-3</v>
      </c>
      <c r="BV29" s="173">
        <f t="shared" si="29"/>
        <v>979041.74</v>
      </c>
      <c r="BW29" s="176">
        <f t="shared" si="30"/>
        <v>5.7081333123896001E-3</v>
      </c>
      <c r="BX29" s="177">
        <f t="shared" si="31"/>
        <v>0</v>
      </c>
      <c r="BY29" s="178">
        <f t="shared" si="32"/>
        <v>0</v>
      </c>
      <c r="BZ29" s="4"/>
      <c r="CA29" s="4"/>
      <c r="CB29" s="4"/>
      <c r="CC29" s="4"/>
      <c r="CD29" s="4"/>
      <c r="CE29" s="4"/>
      <c r="CF29" s="4"/>
      <c r="CG29" s="126">
        <f t="shared" si="33"/>
        <v>3327425.16542145</v>
      </c>
      <c r="CH29" s="126">
        <f t="shared" si="34"/>
        <v>1370436.8045785499</v>
      </c>
      <c r="CI29" s="126"/>
      <c r="CJ29" s="126"/>
      <c r="CK29" s="9"/>
      <c r="CL29" s="9"/>
      <c r="CM29" s="127"/>
      <c r="CN29" s="9"/>
      <c r="CO29" s="9"/>
      <c r="CP29" s="9"/>
      <c r="CQ29" s="126"/>
      <c r="CR29" s="126"/>
      <c r="CS29" s="126"/>
      <c r="CT29" s="126"/>
      <c r="CU29" s="126"/>
      <c r="CV29" s="9"/>
      <c r="CW29" s="9"/>
      <c r="CX29" s="127"/>
      <c r="CY29" s="67"/>
      <c r="CZ29" s="67"/>
    </row>
    <row r="30" spans="1:104" x14ac:dyDescent="0.35">
      <c r="A30" s="143">
        <v>25</v>
      </c>
      <c r="B30" s="116" t="s">
        <v>478</v>
      </c>
      <c r="C30" s="144">
        <v>22821062.232594319</v>
      </c>
      <c r="D30" s="144">
        <v>1906428.97</v>
      </c>
      <c r="E30" s="144">
        <v>1027218.58</v>
      </c>
      <c r="F30" s="145">
        <f t="shared" si="7"/>
        <v>2933647.55</v>
      </c>
      <c r="G30" s="144"/>
      <c r="H30" s="144"/>
      <c r="I30" s="145"/>
      <c r="J30" s="144">
        <v>422098.49</v>
      </c>
      <c r="K30" s="144">
        <v>209556.26</v>
      </c>
      <c r="L30" s="145">
        <f t="shared" si="8"/>
        <v>631654.75</v>
      </c>
      <c r="M30" s="146">
        <v>122446.85</v>
      </c>
      <c r="N30" s="146">
        <v>161959.59</v>
      </c>
      <c r="O30" s="145">
        <f t="shared" si="9"/>
        <v>284406.44</v>
      </c>
      <c r="P30" s="144">
        <v>760303.18</v>
      </c>
      <c r="Q30" s="144">
        <v>1005647.26</v>
      </c>
      <c r="R30" s="147">
        <f t="shared" si="10"/>
        <v>1765950.44</v>
      </c>
      <c r="S30" s="117">
        <v>0</v>
      </c>
      <c r="T30" s="117">
        <v>0</v>
      </c>
      <c r="U30" s="146">
        <v>0</v>
      </c>
      <c r="V30" s="146">
        <v>0</v>
      </c>
      <c r="W30" s="4"/>
      <c r="X30" s="4"/>
      <c r="Y30" s="4"/>
      <c r="Z30" s="4"/>
      <c r="AA30" s="4"/>
      <c r="AB30" s="4"/>
      <c r="AC30" s="4"/>
      <c r="AD30" s="4"/>
      <c r="AE30" s="4"/>
      <c r="AF30" s="118">
        <f t="shared" si="11"/>
        <v>631654.75</v>
      </c>
      <c r="AG30" s="112">
        <f t="shared" si="11"/>
        <v>122446.85</v>
      </c>
      <c r="AH30" s="112">
        <f t="shared" si="11"/>
        <v>161959.59</v>
      </c>
      <c r="AI30" s="10">
        <f t="shared" si="12"/>
        <v>170846.30648875001</v>
      </c>
      <c r="AJ30" s="10">
        <f t="shared" si="13"/>
        <v>56166.629512810003</v>
      </c>
      <c r="AK30" s="10">
        <f t="shared" si="14"/>
        <v>529.84919772000001</v>
      </c>
      <c r="AL30" s="10">
        <f t="shared" si="15"/>
        <v>56863.654800720004</v>
      </c>
      <c r="AM30" s="10">
        <f t="shared" si="16"/>
        <v>0</v>
      </c>
      <c r="AN30" s="9">
        <f t="shared" si="17"/>
        <v>0</v>
      </c>
      <c r="AO30" s="10">
        <f t="shared" si="18"/>
        <v>0</v>
      </c>
      <c r="AP30" s="66">
        <f t="shared" si="19"/>
        <v>1986919.5525762346</v>
      </c>
      <c r="AQ30" s="66">
        <f t="shared" si="20"/>
        <v>677974.5997215372</v>
      </c>
      <c r="AR30" s="66">
        <f t="shared" si="21"/>
        <v>6316.5335377782958</v>
      </c>
      <c r="AS30" s="66">
        <f t="shared" si="22"/>
        <v>157913.33844445742</v>
      </c>
      <c r="AT30" s="66"/>
      <c r="AU30" s="4"/>
      <c r="AV30" s="4"/>
      <c r="AW30" s="4"/>
      <c r="AX30" s="4"/>
      <c r="AY30" s="4"/>
      <c r="AZ30" s="4"/>
      <c r="BA30" s="4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9">
        <f t="shared" si="4"/>
        <v>3745185.2142800074</v>
      </c>
      <c r="BN30" s="9">
        <f t="shared" si="35"/>
        <v>2892604.1135872416</v>
      </c>
      <c r="BO30" s="9">
        <f t="shared" si="23"/>
        <v>845734.71795726742</v>
      </c>
      <c r="BP30" s="9">
        <f t="shared" si="24"/>
        <v>6846.3827354982959</v>
      </c>
      <c r="BQ30" s="10">
        <f t="shared" si="25"/>
        <v>0</v>
      </c>
      <c r="BR30" s="9">
        <f t="shared" si="26"/>
        <v>3745185.2142800074</v>
      </c>
      <c r="BS30" s="142">
        <f t="shared" si="36"/>
        <v>2664894.1522977715</v>
      </c>
      <c r="BT30" s="83">
        <f t="shared" si="27"/>
        <v>2664894</v>
      </c>
      <c r="BU30" s="175">
        <f t="shared" si="28"/>
        <v>2.6020654743083697E-3</v>
      </c>
      <c r="BV30" s="173">
        <f t="shared" si="29"/>
        <v>631654.75</v>
      </c>
      <c r="BW30" s="176">
        <f t="shared" si="30"/>
        <v>3.6827536284654468E-3</v>
      </c>
      <c r="BX30" s="177">
        <f t="shared" si="31"/>
        <v>0</v>
      </c>
      <c r="BY30" s="178">
        <f t="shared" si="32"/>
        <v>0</v>
      </c>
      <c r="BZ30" s="4"/>
      <c r="CA30" s="4"/>
      <c r="CB30" s="4"/>
      <c r="CC30" s="4"/>
      <c r="CD30" s="4"/>
      <c r="CE30" s="4"/>
      <c r="CF30" s="4"/>
      <c r="CG30" s="126">
        <f t="shared" si="33"/>
        <v>2077858.5549517502</v>
      </c>
      <c r="CH30" s="126">
        <f t="shared" si="34"/>
        <v>855788.99504824996</v>
      </c>
      <c r="CI30" s="126"/>
      <c r="CJ30" s="126"/>
      <c r="CK30" s="9"/>
      <c r="CL30" s="9"/>
      <c r="CM30" s="127"/>
      <c r="CN30" s="9"/>
      <c r="CO30" s="9"/>
      <c r="CP30" s="9"/>
      <c r="CQ30" s="126"/>
      <c r="CR30" s="126"/>
      <c r="CS30" s="126"/>
      <c r="CT30" s="126"/>
      <c r="CU30" s="126"/>
      <c r="CV30" s="9"/>
      <c r="CW30" s="9"/>
      <c r="CX30" s="127"/>
      <c r="CY30" s="67"/>
      <c r="CZ30" s="67"/>
    </row>
    <row r="31" spans="1:104" x14ac:dyDescent="0.35">
      <c r="A31" s="143">
        <v>26</v>
      </c>
      <c r="B31" s="116" t="s">
        <v>479</v>
      </c>
      <c r="C31" s="144">
        <v>15642640.840140024</v>
      </c>
      <c r="D31" s="144">
        <v>1704910.74</v>
      </c>
      <c r="E31" s="144">
        <v>305950.74</v>
      </c>
      <c r="F31" s="145">
        <f t="shared" si="7"/>
        <v>2010861.48</v>
      </c>
      <c r="G31" s="144"/>
      <c r="H31" s="144"/>
      <c r="I31" s="145"/>
      <c r="J31" s="144">
        <v>339348.18</v>
      </c>
      <c r="K31" s="144">
        <v>56775.11</v>
      </c>
      <c r="L31" s="145">
        <f t="shared" si="8"/>
        <v>396123.29</v>
      </c>
      <c r="M31" s="146">
        <v>314203.01</v>
      </c>
      <c r="N31" s="146">
        <v>78516.100000000006</v>
      </c>
      <c r="O31" s="145">
        <f t="shared" si="9"/>
        <v>392719.11</v>
      </c>
      <c r="P31" s="144">
        <v>1950961.49</v>
      </c>
      <c r="Q31" s="144">
        <v>487525.51</v>
      </c>
      <c r="R31" s="147">
        <f t="shared" si="10"/>
        <v>2438487</v>
      </c>
      <c r="S31" s="117">
        <v>0</v>
      </c>
      <c r="T31" s="117">
        <v>0</v>
      </c>
      <c r="U31" s="146">
        <v>0</v>
      </c>
      <c r="V31" s="146">
        <v>0</v>
      </c>
      <c r="W31" s="4"/>
      <c r="X31" s="4"/>
      <c r="Y31" s="4"/>
      <c r="Z31" s="4"/>
      <c r="AA31" s="4"/>
      <c r="AB31" s="4"/>
      <c r="AC31" s="4"/>
      <c r="AD31" s="4"/>
      <c r="AE31" s="4"/>
      <c r="AF31" s="118">
        <f t="shared" si="11"/>
        <v>396123.29</v>
      </c>
      <c r="AG31" s="112">
        <f t="shared" si="11"/>
        <v>314203.01</v>
      </c>
      <c r="AH31" s="112">
        <f t="shared" si="11"/>
        <v>78516.100000000006</v>
      </c>
      <c r="AI31" s="10">
        <f t="shared" si="12"/>
        <v>226899.83447402</v>
      </c>
      <c r="AJ31" s="10">
        <f t="shared" si="13"/>
        <v>86568.166408869991</v>
      </c>
      <c r="AK31" s="10">
        <f t="shared" si="14"/>
        <v>731.63570192999998</v>
      </c>
      <c r="AL31" s="10">
        <f t="shared" si="15"/>
        <v>78519.473415180008</v>
      </c>
      <c r="AM31" s="10">
        <f t="shared" si="16"/>
        <v>0</v>
      </c>
      <c r="AN31" s="9">
        <f t="shared" si="17"/>
        <v>0</v>
      </c>
      <c r="AO31" s="10">
        <f t="shared" si="18"/>
        <v>0</v>
      </c>
      <c r="AP31" s="66">
        <f t="shared" si="19"/>
        <v>1221163.087400642</v>
      </c>
      <c r="AQ31" s="66">
        <f t="shared" si="20"/>
        <v>425173.75365250872</v>
      </c>
      <c r="AR31" s="66">
        <f t="shared" si="21"/>
        <v>3961.2461520420065</v>
      </c>
      <c r="AS31" s="66">
        <f t="shared" si="22"/>
        <v>99031.153801050168</v>
      </c>
      <c r="AT31" s="66"/>
      <c r="AU31" s="4"/>
      <c r="AV31" s="4"/>
      <c r="AW31" s="4"/>
      <c r="AX31" s="4"/>
      <c r="AY31" s="4"/>
      <c r="AZ31" s="4"/>
      <c r="BA31" s="4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9">
        <f t="shared" si="4"/>
        <v>2538171.6410062425</v>
      </c>
      <c r="BN31" s="9">
        <f t="shared" si="35"/>
        <v>1951756.1489423509</v>
      </c>
      <c r="BO31" s="9">
        <f t="shared" si="23"/>
        <v>581722.61020992009</v>
      </c>
      <c r="BP31" s="9">
        <f t="shared" si="24"/>
        <v>4692.8818539720069</v>
      </c>
      <c r="BQ31" s="10">
        <f t="shared" si="25"/>
        <v>0</v>
      </c>
      <c r="BR31" s="9">
        <f t="shared" si="26"/>
        <v>2538171.6410062429</v>
      </c>
      <c r="BS31" s="142">
        <f t="shared" si="36"/>
        <v>1646336.8410531506</v>
      </c>
      <c r="BT31" s="83">
        <f t="shared" si="27"/>
        <v>1646337</v>
      </c>
      <c r="BU31" s="175">
        <f t="shared" si="28"/>
        <v>1.6075221034548748E-3</v>
      </c>
      <c r="BV31" s="173">
        <f t="shared" si="29"/>
        <v>396123.29</v>
      </c>
      <c r="BW31" s="176">
        <f t="shared" si="30"/>
        <v>2.3095282408106175E-3</v>
      </c>
      <c r="BX31" s="177">
        <f t="shared" si="31"/>
        <v>0</v>
      </c>
      <c r="BY31" s="178">
        <f t="shared" si="32"/>
        <v>0</v>
      </c>
      <c r="BZ31" s="4"/>
      <c r="CA31" s="4"/>
      <c r="CB31" s="4"/>
      <c r="CC31" s="4"/>
      <c r="CD31" s="4"/>
      <c r="CE31" s="4"/>
      <c r="CF31" s="4"/>
      <c r="CG31" s="126">
        <f t="shared" si="33"/>
        <v>1424263.0233618</v>
      </c>
      <c r="CH31" s="126">
        <f t="shared" si="34"/>
        <v>586598.45663819998</v>
      </c>
      <c r="CI31" s="126"/>
      <c r="CJ31" s="126"/>
      <c r="CK31" s="9"/>
      <c r="CL31" s="9"/>
      <c r="CM31" s="127"/>
      <c r="CN31" s="9"/>
      <c r="CO31" s="9"/>
      <c r="CP31" s="9"/>
      <c r="CQ31" s="126"/>
      <c r="CR31" s="126"/>
      <c r="CS31" s="126"/>
      <c r="CT31" s="126"/>
      <c r="CU31" s="126"/>
      <c r="CV31" s="9"/>
      <c r="CW31" s="9"/>
      <c r="CX31" s="127"/>
      <c r="CY31" s="67"/>
      <c r="CZ31" s="67"/>
    </row>
    <row r="32" spans="1:104" x14ac:dyDescent="0.35">
      <c r="A32" s="143">
        <v>27</v>
      </c>
      <c r="B32" s="116" t="s">
        <v>480</v>
      </c>
      <c r="C32" s="144">
        <v>8019496.3049397124</v>
      </c>
      <c r="D32" s="144">
        <v>835993.14</v>
      </c>
      <c r="E32" s="144">
        <v>194913.11</v>
      </c>
      <c r="F32" s="145">
        <f t="shared" si="7"/>
        <v>1030906.25</v>
      </c>
      <c r="G32" s="144"/>
      <c r="H32" s="144"/>
      <c r="I32" s="145"/>
      <c r="J32" s="144">
        <v>168062.48</v>
      </c>
      <c r="K32" s="144">
        <v>38745.269999999997</v>
      </c>
      <c r="L32" s="145">
        <f t="shared" si="8"/>
        <v>206807.75</v>
      </c>
      <c r="M32" s="146">
        <v>145139.22</v>
      </c>
      <c r="N32" s="146">
        <v>36196.54</v>
      </c>
      <c r="O32" s="145">
        <f t="shared" si="9"/>
        <v>181335.76</v>
      </c>
      <c r="P32" s="144">
        <v>901206.81</v>
      </c>
      <c r="Q32" s="144">
        <v>224753.29</v>
      </c>
      <c r="R32" s="147">
        <f t="shared" si="10"/>
        <v>1125960.1000000001</v>
      </c>
      <c r="S32" s="117">
        <v>0</v>
      </c>
      <c r="T32" s="117">
        <v>0</v>
      </c>
      <c r="U32" s="146">
        <v>0</v>
      </c>
      <c r="V32" s="146">
        <v>0</v>
      </c>
      <c r="W32" s="4"/>
      <c r="X32" s="4"/>
      <c r="Y32" s="4"/>
      <c r="Z32" s="4"/>
      <c r="AA32" s="4"/>
      <c r="AB32" s="4"/>
      <c r="AC32" s="4"/>
      <c r="AD32" s="4"/>
      <c r="AE32" s="4"/>
      <c r="AF32" s="118">
        <f t="shared" si="11"/>
        <v>206807.75</v>
      </c>
      <c r="AG32" s="112">
        <f t="shared" si="11"/>
        <v>145139.22</v>
      </c>
      <c r="AH32" s="112">
        <f t="shared" si="11"/>
        <v>36196.54</v>
      </c>
      <c r="AI32" s="10">
        <f t="shared" si="12"/>
        <v>104766.08634574</v>
      </c>
      <c r="AJ32" s="10">
        <f t="shared" si="13"/>
        <v>39975.935950500003</v>
      </c>
      <c r="AK32" s="10">
        <f t="shared" si="14"/>
        <v>337.82852087999999</v>
      </c>
      <c r="AL32" s="10">
        <f t="shared" si="15"/>
        <v>36255.909182880001</v>
      </c>
      <c r="AM32" s="10">
        <f t="shared" si="16"/>
        <v>0</v>
      </c>
      <c r="AN32" s="9">
        <f t="shared" si="17"/>
        <v>0</v>
      </c>
      <c r="AO32" s="10">
        <f t="shared" si="18"/>
        <v>0</v>
      </c>
      <c r="AP32" s="66">
        <f t="shared" si="19"/>
        <v>640571.37418792106</v>
      </c>
      <c r="AQ32" s="66">
        <f t="shared" si="20"/>
        <v>221971.86579905872</v>
      </c>
      <c r="AR32" s="66">
        <f t="shared" si="21"/>
        <v>2068.0608614819134</v>
      </c>
      <c r="AS32" s="66">
        <f t="shared" si="22"/>
        <v>51701.52153704784</v>
      </c>
      <c r="AT32" s="66"/>
      <c r="AU32" s="4"/>
      <c r="AV32" s="4"/>
      <c r="AW32" s="4"/>
      <c r="AX32" s="4"/>
      <c r="AY32" s="4"/>
      <c r="AZ32" s="4"/>
      <c r="BA32" s="4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9">
        <f t="shared" si="4"/>
        <v>1304456.3323855095</v>
      </c>
      <c r="BN32" s="9">
        <f t="shared" si="35"/>
        <v>1003565.2355155997</v>
      </c>
      <c r="BO32" s="9">
        <f t="shared" si="23"/>
        <v>298485.20748754789</v>
      </c>
      <c r="BP32" s="9">
        <f t="shared" si="24"/>
        <v>2405.8893823619132</v>
      </c>
      <c r="BQ32" s="10">
        <f t="shared" si="25"/>
        <v>0</v>
      </c>
      <c r="BR32" s="9">
        <f t="shared" si="26"/>
        <v>1304456.3323855095</v>
      </c>
      <c r="BS32" s="142">
        <f t="shared" si="36"/>
        <v>862543.23998697975</v>
      </c>
      <c r="BT32" s="83">
        <f t="shared" si="27"/>
        <v>862543</v>
      </c>
      <c r="BU32" s="175">
        <f t="shared" si="28"/>
        <v>8.4220755369701942E-4</v>
      </c>
      <c r="BV32" s="173">
        <f t="shared" si="29"/>
        <v>206807.75</v>
      </c>
      <c r="BW32" s="176">
        <f t="shared" si="30"/>
        <v>1.2057567709374069E-3</v>
      </c>
      <c r="BX32" s="177">
        <f t="shared" si="31"/>
        <v>0</v>
      </c>
      <c r="BY32" s="178">
        <f t="shared" si="32"/>
        <v>0</v>
      </c>
      <c r="BZ32" s="4"/>
      <c r="CA32" s="4"/>
      <c r="CB32" s="4"/>
      <c r="CC32" s="4"/>
      <c r="CD32" s="4"/>
      <c r="CE32" s="4"/>
      <c r="CF32" s="4"/>
      <c r="CG32" s="126">
        <f t="shared" si="33"/>
        <v>730175.43328125007</v>
      </c>
      <c r="CH32" s="126">
        <f t="shared" si="34"/>
        <v>300730.81671874999</v>
      </c>
      <c r="CI32" s="126"/>
      <c r="CJ32" s="126"/>
      <c r="CK32" s="9"/>
      <c r="CL32" s="9"/>
      <c r="CM32" s="127"/>
      <c r="CN32" s="9"/>
      <c r="CO32" s="9"/>
      <c r="CP32" s="9"/>
      <c r="CQ32" s="126"/>
      <c r="CR32" s="126"/>
      <c r="CS32" s="126"/>
      <c r="CT32" s="126"/>
      <c r="CU32" s="126"/>
      <c r="CV32" s="9"/>
      <c r="CW32" s="9"/>
      <c r="CX32" s="127"/>
      <c r="CY32" s="67"/>
      <c r="CZ32" s="67"/>
    </row>
    <row r="33" spans="1:104" x14ac:dyDescent="0.35">
      <c r="A33" s="143">
        <v>28</v>
      </c>
      <c r="B33" s="116" t="s">
        <v>481</v>
      </c>
      <c r="C33" s="144">
        <v>5413424.5818747571</v>
      </c>
      <c r="D33" s="144">
        <v>482286.27</v>
      </c>
      <c r="E33" s="144">
        <v>213609.46</v>
      </c>
      <c r="F33" s="145">
        <f t="shared" si="7"/>
        <v>695895.73</v>
      </c>
      <c r="G33" s="144"/>
      <c r="H33" s="144"/>
      <c r="I33" s="145"/>
      <c r="J33" s="144">
        <v>98132.97</v>
      </c>
      <c r="K33" s="144">
        <v>45936.84</v>
      </c>
      <c r="L33" s="145">
        <f t="shared" si="8"/>
        <v>144069.81</v>
      </c>
      <c r="M33" s="146">
        <v>77409.16</v>
      </c>
      <c r="N33" s="146">
        <v>21014.32</v>
      </c>
      <c r="O33" s="145">
        <f t="shared" si="9"/>
        <v>98423.48000000001</v>
      </c>
      <c r="P33" s="144">
        <v>480652.95</v>
      </c>
      <c r="Q33" s="144">
        <v>130483.36</v>
      </c>
      <c r="R33" s="147">
        <f t="shared" si="10"/>
        <v>611136.31000000006</v>
      </c>
      <c r="S33" s="117">
        <v>0</v>
      </c>
      <c r="T33" s="117">
        <v>0</v>
      </c>
      <c r="U33" s="146">
        <v>0</v>
      </c>
      <c r="V33" s="146">
        <v>0</v>
      </c>
      <c r="W33" s="4"/>
      <c r="X33" s="4"/>
      <c r="Y33" s="4"/>
      <c r="Z33" s="4"/>
      <c r="AA33" s="4"/>
      <c r="AB33" s="4"/>
      <c r="AC33" s="4"/>
      <c r="AD33" s="4"/>
      <c r="AE33" s="4"/>
      <c r="AF33" s="118">
        <f t="shared" si="11"/>
        <v>144069.81</v>
      </c>
      <c r="AG33" s="112">
        <f t="shared" si="11"/>
        <v>77409.16</v>
      </c>
      <c r="AH33" s="112">
        <f t="shared" si="11"/>
        <v>21014.32</v>
      </c>
      <c r="AI33" s="10">
        <f t="shared" si="12"/>
        <v>56948.753436719999</v>
      </c>
      <c r="AJ33" s="10">
        <f t="shared" si="13"/>
        <v>21612.769875800001</v>
      </c>
      <c r="AK33" s="10">
        <f t="shared" si="14"/>
        <v>183.36294324000002</v>
      </c>
      <c r="AL33" s="10">
        <f t="shared" si="15"/>
        <v>19678.593744240003</v>
      </c>
      <c r="AM33" s="10">
        <f t="shared" si="16"/>
        <v>0</v>
      </c>
      <c r="AN33" s="9">
        <f t="shared" si="17"/>
        <v>0</v>
      </c>
      <c r="AO33" s="10">
        <f t="shared" si="18"/>
        <v>0</v>
      </c>
      <c r="AP33" s="66">
        <f t="shared" si="19"/>
        <v>452560.35213840508</v>
      </c>
      <c r="AQ33" s="66">
        <f t="shared" si="20"/>
        <v>154633.68235436716</v>
      </c>
      <c r="AR33" s="66">
        <f t="shared" si="21"/>
        <v>1440.6864815624269</v>
      </c>
      <c r="AS33" s="66">
        <f t="shared" si="22"/>
        <v>36017.162039060677</v>
      </c>
      <c r="AT33" s="66"/>
      <c r="AU33" s="4"/>
      <c r="AV33" s="4"/>
      <c r="AW33" s="4"/>
      <c r="AX33" s="4"/>
      <c r="AY33" s="4"/>
      <c r="AZ33" s="4"/>
      <c r="BA33" s="4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9">
        <f t="shared" si="4"/>
        <v>887145.1730133954</v>
      </c>
      <c r="BN33" s="9">
        <f t="shared" si="35"/>
        <v>683821.38167373231</v>
      </c>
      <c r="BO33" s="9">
        <f t="shared" si="23"/>
        <v>201699.74191486067</v>
      </c>
      <c r="BP33" s="9">
        <f t="shared" si="24"/>
        <v>1624.049424802427</v>
      </c>
      <c r="BQ33" s="10">
        <f t="shared" si="25"/>
        <v>0</v>
      </c>
      <c r="BR33" s="9">
        <f t="shared" si="26"/>
        <v>887145.1730133954</v>
      </c>
      <c r="BS33" s="142">
        <f t="shared" si="36"/>
        <v>607194.03449277231</v>
      </c>
      <c r="BT33" s="83">
        <f t="shared" si="27"/>
        <v>607194</v>
      </c>
      <c r="BU33" s="175">
        <f t="shared" si="28"/>
        <v>5.9287856967878019E-4</v>
      </c>
      <c r="BV33" s="173">
        <f t="shared" si="29"/>
        <v>144069.81</v>
      </c>
      <c r="BW33" s="176">
        <f t="shared" si="30"/>
        <v>8.399740768668762E-4</v>
      </c>
      <c r="BX33" s="177">
        <f t="shared" si="31"/>
        <v>0</v>
      </c>
      <c r="BY33" s="178">
        <f t="shared" si="32"/>
        <v>0</v>
      </c>
      <c r="BZ33" s="4"/>
      <c r="CA33" s="4"/>
      <c r="CB33" s="4"/>
      <c r="CC33" s="4"/>
      <c r="CD33" s="4"/>
      <c r="CE33" s="4"/>
      <c r="CF33" s="4"/>
      <c r="CG33" s="126">
        <f t="shared" si="33"/>
        <v>492892.50712305005</v>
      </c>
      <c r="CH33" s="126">
        <f t="shared" si="34"/>
        <v>203003.22287694999</v>
      </c>
      <c r="CI33" s="126"/>
      <c r="CJ33" s="126"/>
      <c r="CK33" s="9"/>
      <c r="CL33" s="9"/>
      <c r="CM33" s="127"/>
      <c r="CN33" s="9"/>
      <c r="CO33" s="9"/>
      <c r="CP33" s="9"/>
      <c r="CQ33" s="126"/>
      <c r="CR33" s="126"/>
      <c r="CS33" s="126"/>
      <c r="CT33" s="126"/>
      <c r="CU33" s="126"/>
      <c r="CV33" s="9"/>
      <c r="CW33" s="9"/>
      <c r="CX33" s="127"/>
      <c r="CY33" s="67"/>
      <c r="CZ33" s="67"/>
    </row>
    <row r="34" spans="1:104" x14ac:dyDescent="0.35">
      <c r="A34" s="143">
        <v>29</v>
      </c>
      <c r="B34" s="116" t="s">
        <v>482</v>
      </c>
      <c r="C34" s="144">
        <v>4291866.666666666</v>
      </c>
      <c r="D34" s="144">
        <v>431907.24</v>
      </c>
      <c r="E34" s="144">
        <v>119812.22</v>
      </c>
      <c r="F34" s="145">
        <f t="shared" si="7"/>
        <v>551719.46</v>
      </c>
      <c r="G34" s="144"/>
      <c r="H34" s="144"/>
      <c r="I34" s="145"/>
      <c r="J34" s="144">
        <v>84322.44</v>
      </c>
      <c r="K34" s="144">
        <v>24229.48</v>
      </c>
      <c r="L34" s="145">
        <f t="shared" si="8"/>
        <v>108551.92</v>
      </c>
      <c r="M34" s="146">
        <v>88430.61</v>
      </c>
      <c r="N34" s="146">
        <v>20029.939999999999</v>
      </c>
      <c r="O34" s="145">
        <f t="shared" si="9"/>
        <v>108460.55</v>
      </c>
      <c r="P34" s="144">
        <v>549088.72</v>
      </c>
      <c r="Q34" s="144">
        <v>124371.08</v>
      </c>
      <c r="R34" s="147">
        <f t="shared" si="10"/>
        <v>673459.79999999993</v>
      </c>
      <c r="S34" s="117">
        <v>0</v>
      </c>
      <c r="T34" s="117">
        <v>0</v>
      </c>
      <c r="U34" s="146">
        <v>0</v>
      </c>
      <c r="V34" s="146">
        <v>0</v>
      </c>
      <c r="W34" s="4"/>
      <c r="X34" s="4"/>
      <c r="Y34" s="4"/>
      <c r="Z34" s="4"/>
      <c r="AA34" s="4"/>
      <c r="AB34" s="4"/>
      <c r="AC34" s="4"/>
      <c r="AD34" s="4"/>
      <c r="AE34" s="4"/>
      <c r="AF34" s="118">
        <f t="shared" si="11"/>
        <v>108551.92</v>
      </c>
      <c r="AG34" s="112">
        <f t="shared" si="11"/>
        <v>88430.61</v>
      </c>
      <c r="AH34" s="112">
        <f t="shared" si="11"/>
        <v>20029.939999999999</v>
      </c>
      <c r="AI34" s="10">
        <f t="shared" si="12"/>
        <v>62562.107928019992</v>
      </c>
      <c r="AJ34" s="10">
        <f t="shared" si="13"/>
        <v>24010.99462143</v>
      </c>
      <c r="AK34" s="10">
        <f t="shared" si="14"/>
        <v>202.06200465000001</v>
      </c>
      <c r="AL34" s="10">
        <f t="shared" si="15"/>
        <v>21685.385445899999</v>
      </c>
      <c r="AM34" s="10">
        <f t="shared" si="16"/>
        <v>0</v>
      </c>
      <c r="AN34" s="9">
        <f t="shared" si="17"/>
        <v>0</v>
      </c>
      <c r="AO34" s="10">
        <f t="shared" si="18"/>
        <v>0</v>
      </c>
      <c r="AP34" s="66">
        <f t="shared" si="19"/>
        <v>337532.51601248933</v>
      </c>
      <c r="AQ34" s="66">
        <f t="shared" si="20"/>
        <v>116512.70110666667</v>
      </c>
      <c r="AR34" s="66">
        <f t="shared" si="21"/>
        <v>1085.52206</v>
      </c>
      <c r="AS34" s="66">
        <f t="shared" si="22"/>
        <v>27138.051500000005</v>
      </c>
      <c r="AT34" s="66"/>
      <c r="AU34" s="4"/>
      <c r="AV34" s="4"/>
      <c r="AW34" s="4"/>
      <c r="AX34" s="4"/>
      <c r="AY34" s="4"/>
      <c r="AZ34" s="4"/>
      <c r="BA34" s="4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9">
        <f t="shared" si="4"/>
        <v>699281.26067915605</v>
      </c>
      <c r="BN34" s="9">
        <f t="shared" si="35"/>
        <v>538292.71049307601</v>
      </c>
      <c r="BO34" s="9">
        <f t="shared" si="23"/>
        <v>159700.96612142998</v>
      </c>
      <c r="BP34" s="9">
        <f t="shared" si="24"/>
        <v>1287.5840646500001</v>
      </c>
      <c r="BQ34" s="10">
        <f t="shared" si="25"/>
        <v>0</v>
      </c>
      <c r="BR34" s="9">
        <f t="shared" si="26"/>
        <v>699281.26067915594</v>
      </c>
      <c r="BS34" s="142">
        <f t="shared" si="36"/>
        <v>454045.21711915603</v>
      </c>
      <c r="BT34" s="83">
        <f t="shared" si="27"/>
        <v>454045</v>
      </c>
      <c r="BU34" s="175">
        <f t="shared" si="28"/>
        <v>4.4334045396208637E-4</v>
      </c>
      <c r="BV34" s="173">
        <f t="shared" si="29"/>
        <v>108551.92</v>
      </c>
      <c r="BW34" s="176">
        <f t="shared" si="30"/>
        <v>6.3289317029103457E-4</v>
      </c>
      <c r="BX34" s="177">
        <f t="shared" si="31"/>
        <v>0</v>
      </c>
      <c r="BY34" s="178">
        <f t="shared" si="32"/>
        <v>0</v>
      </c>
      <c r="BZ34" s="4"/>
      <c r="CA34" s="4"/>
      <c r="CB34" s="4"/>
      <c r="CC34" s="4"/>
      <c r="CD34" s="4"/>
      <c r="CE34" s="4"/>
      <c r="CF34" s="4"/>
      <c r="CG34" s="126">
        <f t="shared" si="33"/>
        <v>390774.61772610003</v>
      </c>
      <c r="CH34" s="126">
        <f t="shared" si="34"/>
        <v>160944.84227389999</v>
      </c>
      <c r="CI34" s="126"/>
      <c r="CJ34" s="126"/>
      <c r="CK34" s="9"/>
      <c r="CL34" s="9"/>
      <c r="CM34" s="127"/>
      <c r="CN34" s="9"/>
      <c r="CO34" s="9"/>
      <c r="CP34" s="9"/>
      <c r="CQ34" s="126"/>
      <c r="CR34" s="126"/>
      <c r="CS34" s="126"/>
      <c r="CT34" s="126"/>
      <c r="CU34" s="126"/>
      <c r="CV34" s="9"/>
      <c r="CW34" s="9"/>
      <c r="CX34" s="127"/>
      <c r="CY34" s="67"/>
      <c r="CZ34" s="67"/>
    </row>
    <row r="35" spans="1:104" x14ac:dyDescent="0.35">
      <c r="A35" s="143">
        <v>30</v>
      </c>
      <c r="B35" s="116" t="s">
        <v>483</v>
      </c>
      <c r="C35" s="144">
        <v>50659762.738234147</v>
      </c>
      <c r="D35" s="144">
        <v>5116665.5199999996</v>
      </c>
      <c r="E35" s="144">
        <v>1395646.98</v>
      </c>
      <c r="F35" s="145">
        <f t="shared" si="7"/>
        <v>6512312.5</v>
      </c>
      <c r="G35" s="144"/>
      <c r="H35" s="144"/>
      <c r="I35" s="145"/>
      <c r="J35" s="144">
        <v>1130348.54</v>
      </c>
      <c r="K35" s="144">
        <v>306546.26</v>
      </c>
      <c r="L35" s="145">
        <f t="shared" si="8"/>
        <v>1436894.8</v>
      </c>
      <c r="M35" s="146">
        <v>342195.06</v>
      </c>
      <c r="N35" s="146">
        <v>102852.08</v>
      </c>
      <c r="O35" s="145">
        <f t="shared" si="9"/>
        <v>445047.14</v>
      </c>
      <c r="P35" s="144">
        <v>2124777.85</v>
      </c>
      <c r="Q35" s="144">
        <v>638634.82999999996</v>
      </c>
      <c r="R35" s="147">
        <f t="shared" si="10"/>
        <v>2763412.68</v>
      </c>
      <c r="S35" s="117">
        <v>0</v>
      </c>
      <c r="T35" s="117">
        <v>0</v>
      </c>
      <c r="U35" s="146">
        <v>0</v>
      </c>
      <c r="V35" s="146">
        <v>0</v>
      </c>
      <c r="W35" s="4"/>
      <c r="X35" s="4"/>
      <c r="Y35" s="4"/>
      <c r="Z35" s="4"/>
      <c r="AA35" s="4"/>
      <c r="AB35" s="4"/>
      <c r="AC35" s="4"/>
      <c r="AD35" s="4"/>
      <c r="AE35" s="4"/>
      <c r="AF35" s="118">
        <f t="shared" si="11"/>
        <v>1436894.8</v>
      </c>
      <c r="AG35" s="112">
        <f t="shared" si="11"/>
        <v>342195.06</v>
      </c>
      <c r="AH35" s="112">
        <f t="shared" si="11"/>
        <v>102852.08</v>
      </c>
      <c r="AI35" s="10">
        <f t="shared" si="12"/>
        <v>257994.68489671999</v>
      </c>
      <c r="AJ35" s="10">
        <f t="shared" si="13"/>
        <v>97241.497204140003</v>
      </c>
      <c r="AK35" s="10">
        <f t="shared" si="14"/>
        <v>829.12282182000001</v>
      </c>
      <c r="AL35" s="10">
        <f t="shared" si="15"/>
        <v>88981.835077320007</v>
      </c>
      <c r="AM35" s="10">
        <f t="shared" si="16"/>
        <v>0</v>
      </c>
      <c r="AN35" s="9">
        <f t="shared" si="17"/>
        <v>0</v>
      </c>
      <c r="AO35" s="10">
        <f t="shared" si="18"/>
        <v>0</v>
      </c>
      <c r="AP35" s="66">
        <f t="shared" si="19"/>
        <v>4463144.7399047865</v>
      </c>
      <c r="AQ35" s="66">
        <f t="shared" si="20"/>
        <v>1542262.4718751395</v>
      </c>
      <c r="AR35" s="66">
        <f t="shared" si="21"/>
        <v>14368.905017470242</v>
      </c>
      <c r="AS35" s="66">
        <f t="shared" si="22"/>
        <v>359222.62543675606</v>
      </c>
      <c r="AT35" s="66"/>
      <c r="AU35" s="4"/>
      <c r="AV35" s="4"/>
      <c r="AW35" s="4"/>
      <c r="AX35" s="4"/>
      <c r="AY35" s="4"/>
      <c r="AZ35" s="4"/>
      <c r="BA35" s="4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9">
        <f t="shared" si="4"/>
        <v>8260940.6822341513</v>
      </c>
      <c r="BN35" s="9">
        <f t="shared" si="35"/>
        <v>6352383.7317539658</v>
      </c>
      <c r="BO35" s="9">
        <f t="shared" si="23"/>
        <v>1893358.9226408962</v>
      </c>
      <c r="BP35" s="9">
        <f t="shared" si="24"/>
        <v>15198.027839290242</v>
      </c>
      <c r="BQ35" s="10">
        <f t="shared" si="25"/>
        <v>0</v>
      </c>
      <c r="BR35" s="9">
        <f t="shared" si="26"/>
        <v>8260940.6822341522</v>
      </c>
      <c r="BS35" s="142">
        <f t="shared" si="36"/>
        <v>6005407.211779926</v>
      </c>
      <c r="BT35" s="83">
        <f t="shared" si="27"/>
        <v>6005407</v>
      </c>
      <c r="BU35" s="175">
        <f t="shared" si="28"/>
        <v>5.8638211770855198E-3</v>
      </c>
      <c r="BV35" s="173">
        <f t="shared" si="29"/>
        <v>1436894.8</v>
      </c>
      <c r="BW35" s="176">
        <f t="shared" si="30"/>
        <v>8.3775662866829269E-3</v>
      </c>
      <c r="BX35" s="177">
        <f t="shared" si="31"/>
        <v>0</v>
      </c>
      <c r="BY35" s="178">
        <f t="shared" si="32"/>
        <v>0</v>
      </c>
      <c r="BZ35" s="4"/>
      <c r="CA35" s="4"/>
      <c r="CB35" s="4"/>
      <c r="CC35" s="4"/>
      <c r="CD35" s="4"/>
      <c r="CE35" s="4"/>
      <c r="CF35" s="4"/>
      <c r="CG35" s="126">
        <f t="shared" si="33"/>
        <v>4612573.2590624997</v>
      </c>
      <c r="CH35" s="126">
        <f t="shared" si="34"/>
        <v>1899739.2409374998</v>
      </c>
      <c r="CI35" s="126"/>
      <c r="CJ35" s="126"/>
      <c r="CK35" s="9"/>
      <c r="CL35" s="9"/>
      <c r="CM35" s="127"/>
      <c r="CN35" s="9"/>
      <c r="CO35" s="9"/>
      <c r="CP35" s="9"/>
      <c r="CQ35" s="126"/>
      <c r="CR35" s="126"/>
      <c r="CS35" s="126"/>
      <c r="CT35" s="126"/>
      <c r="CU35" s="126"/>
      <c r="CV35" s="9"/>
      <c r="CW35" s="9"/>
      <c r="CX35" s="127"/>
      <c r="CY35" s="67"/>
      <c r="CZ35" s="67"/>
    </row>
    <row r="36" spans="1:104" x14ac:dyDescent="0.35">
      <c r="A36" s="143">
        <v>31</v>
      </c>
      <c r="B36" s="116" t="s">
        <v>484</v>
      </c>
      <c r="C36" s="144">
        <v>8174634.3835083628</v>
      </c>
      <c r="D36" s="144">
        <v>857038.91</v>
      </c>
      <c r="E36" s="144">
        <v>193810.34</v>
      </c>
      <c r="F36" s="145">
        <f t="shared" si="7"/>
        <v>1050849.25</v>
      </c>
      <c r="G36" s="144"/>
      <c r="H36" s="144"/>
      <c r="I36" s="145"/>
      <c r="J36" s="144">
        <v>186524.27</v>
      </c>
      <c r="K36" s="144">
        <v>37162.97</v>
      </c>
      <c r="L36" s="145">
        <f t="shared" si="8"/>
        <v>223687.24</v>
      </c>
      <c r="M36" s="146">
        <v>72388.7</v>
      </c>
      <c r="N36" s="146">
        <v>43310.69</v>
      </c>
      <c r="O36" s="145">
        <f t="shared" si="9"/>
        <v>115699.39</v>
      </c>
      <c r="P36" s="144">
        <v>449477.5</v>
      </c>
      <c r="Q36" s="144">
        <v>268927.42</v>
      </c>
      <c r="R36" s="147">
        <f t="shared" si="10"/>
        <v>718404.91999999993</v>
      </c>
      <c r="S36" s="117">
        <v>0</v>
      </c>
      <c r="T36" s="117">
        <v>0</v>
      </c>
      <c r="U36" s="146">
        <v>0</v>
      </c>
      <c r="V36" s="146">
        <v>0</v>
      </c>
      <c r="W36" s="4"/>
      <c r="X36" s="4"/>
      <c r="Y36" s="4"/>
      <c r="Z36" s="4"/>
      <c r="AA36" s="4"/>
      <c r="AB36" s="4"/>
      <c r="AC36" s="4"/>
      <c r="AD36" s="4"/>
      <c r="AE36" s="4"/>
      <c r="AF36" s="118">
        <f t="shared" si="11"/>
        <v>223687.24</v>
      </c>
      <c r="AG36" s="112">
        <f t="shared" si="11"/>
        <v>72388.7</v>
      </c>
      <c r="AH36" s="112">
        <f t="shared" si="11"/>
        <v>43310.69</v>
      </c>
      <c r="AI36" s="10">
        <f t="shared" si="12"/>
        <v>68100.17220945</v>
      </c>
      <c r="AJ36" s="10">
        <f t="shared" si="13"/>
        <v>24250.965189160001</v>
      </c>
      <c r="AK36" s="10">
        <f t="shared" si="14"/>
        <v>215.54796357000001</v>
      </c>
      <c r="AL36" s="10">
        <f t="shared" si="15"/>
        <v>23132.704637820003</v>
      </c>
      <c r="AM36" s="10">
        <f t="shared" si="16"/>
        <v>0</v>
      </c>
      <c r="AN36" s="9">
        <f t="shared" si="17"/>
        <v>0</v>
      </c>
      <c r="AO36" s="10">
        <f t="shared" si="18"/>
        <v>0</v>
      </c>
      <c r="AP36" s="66">
        <f t="shared" si="19"/>
        <v>691277.06878304714</v>
      </c>
      <c r="AQ36" s="66">
        <f t="shared" si="20"/>
        <v>240090.58872496928</v>
      </c>
      <c r="AR36" s="66">
        <f t="shared" si="21"/>
        <v>2236.8688390525085</v>
      </c>
      <c r="AS36" s="66">
        <f t="shared" si="22"/>
        <v>55921.720976312718</v>
      </c>
      <c r="AT36" s="66"/>
      <c r="AU36" s="4"/>
      <c r="AV36" s="4"/>
      <c r="AW36" s="4"/>
      <c r="AX36" s="4"/>
      <c r="AY36" s="4"/>
      <c r="AZ36" s="4"/>
      <c r="BA36" s="4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9">
        <f t="shared" si="4"/>
        <v>1328912.8773233816</v>
      </c>
      <c r="BN36" s="9">
        <f t="shared" si="35"/>
        <v>1022600.5343552864</v>
      </c>
      <c r="BO36" s="9">
        <f t="shared" si="23"/>
        <v>303859.92616547272</v>
      </c>
      <c r="BP36" s="9">
        <f t="shared" si="24"/>
        <v>2452.4168026225084</v>
      </c>
      <c r="BQ36" s="10">
        <f t="shared" si="25"/>
        <v>0</v>
      </c>
      <c r="BR36" s="9">
        <f t="shared" si="26"/>
        <v>1328912.8773233818</v>
      </c>
      <c r="BS36" s="142">
        <f t="shared" si="36"/>
        <v>931367.65750801645</v>
      </c>
      <c r="BT36" s="83">
        <f t="shared" si="27"/>
        <v>931368</v>
      </c>
      <c r="BU36" s="175">
        <f t="shared" si="28"/>
        <v>9.0940933747760946E-4</v>
      </c>
      <c r="BV36" s="173">
        <f t="shared" si="29"/>
        <v>223687.24</v>
      </c>
      <c r="BW36" s="176">
        <f t="shared" si="30"/>
        <v>1.3041697141538493E-3</v>
      </c>
      <c r="BX36" s="177">
        <f t="shared" si="31"/>
        <v>0</v>
      </c>
      <c r="BY36" s="178">
        <f t="shared" si="32"/>
        <v>0</v>
      </c>
      <c r="BZ36" s="4"/>
      <c r="CA36" s="4"/>
      <c r="CB36" s="4"/>
      <c r="CC36" s="4"/>
      <c r="CD36" s="4"/>
      <c r="CE36" s="4"/>
      <c r="CF36" s="4"/>
      <c r="CG36" s="126">
        <f t="shared" si="33"/>
        <v>744300.76103625004</v>
      </c>
      <c r="CH36" s="126">
        <f t="shared" si="34"/>
        <v>306548.48896375002</v>
      </c>
      <c r="CI36" s="126"/>
      <c r="CJ36" s="126"/>
      <c r="CK36" s="9"/>
      <c r="CL36" s="9"/>
      <c r="CM36" s="127"/>
      <c r="CN36" s="9"/>
      <c r="CO36" s="9"/>
      <c r="CP36" s="9"/>
      <c r="CQ36" s="126"/>
      <c r="CR36" s="126"/>
      <c r="CS36" s="126"/>
      <c r="CT36" s="126"/>
      <c r="CU36" s="126"/>
      <c r="CV36" s="9"/>
      <c r="CW36" s="9"/>
      <c r="CX36" s="127"/>
      <c r="CY36" s="67"/>
      <c r="CZ36" s="67"/>
    </row>
    <row r="37" spans="1:104" x14ac:dyDescent="0.35">
      <c r="A37" s="143">
        <v>32</v>
      </c>
      <c r="B37" s="116" t="s">
        <v>485</v>
      </c>
      <c r="C37" s="144">
        <v>4893121.1979774404</v>
      </c>
      <c r="D37" s="144">
        <v>541241.12</v>
      </c>
      <c r="E37" s="144">
        <v>87769.61</v>
      </c>
      <c r="F37" s="145">
        <f t="shared" si="7"/>
        <v>629010.73</v>
      </c>
      <c r="G37" s="144"/>
      <c r="H37" s="144"/>
      <c r="I37" s="145"/>
      <c r="J37" s="144">
        <v>114572.89</v>
      </c>
      <c r="K37" s="144">
        <v>18439.93</v>
      </c>
      <c r="L37" s="145">
        <f t="shared" si="8"/>
        <v>133012.82</v>
      </c>
      <c r="M37" s="146">
        <v>63011.27</v>
      </c>
      <c r="N37" s="146">
        <v>10968.93</v>
      </c>
      <c r="O37" s="145">
        <f t="shared" si="9"/>
        <v>73980.2</v>
      </c>
      <c r="P37" s="144">
        <v>391253.1</v>
      </c>
      <c r="Q37" s="144">
        <v>68108.83</v>
      </c>
      <c r="R37" s="147">
        <f t="shared" si="10"/>
        <v>459361.93</v>
      </c>
      <c r="S37" s="117">
        <v>0</v>
      </c>
      <c r="T37" s="117">
        <v>0</v>
      </c>
      <c r="U37" s="146">
        <v>0</v>
      </c>
      <c r="V37" s="146">
        <v>0</v>
      </c>
      <c r="W37" s="4"/>
      <c r="X37" s="4"/>
      <c r="Y37" s="4"/>
      <c r="Z37" s="4"/>
      <c r="AA37" s="4"/>
      <c r="AB37" s="4"/>
      <c r="AC37" s="4"/>
      <c r="AD37" s="4"/>
      <c r="AE37" s="4"/>
      <c r="AF37" s="118">
        <f t="shared" si="11"/>
        <v>133012.82</v>
      </c>
      <c r="AG37" s="112">
        <f t="shared" si="11"/>
        <v>63011.27</v>
      </c>
      <c r="AH37" s="112">
        <f t="shared" si="11"/>
        <v>10968.93</v>
      </c>
      <c r="AI37" s="10">
        <f t="shared" si="12"/>
        <v>42505.947800889997</v>
      </c>
      <c r="AJ37" s="10">
        <f t="shared" si="13"/>
        <v>16544.973858909998</v>
      </c>
      <c r="AK37" s="10">
        <f t="shared" si="14"/>
        <v>137.82511260000001</v>
      </c>
      <c r="AL37" s="10">
        <f t="shared" si="15"/>
        <v>14791.453227599999</v>
      </c>
      <c r="AM37" s="10">
        <f t="shared" si="16"/>
        <v>0</v>
      </c>
      <c r="AN37" s="9">
        <f t="shared" si="17"/>
        <v>0</v>
      </c>
      <c r="AO37" s="10">
        <f t="shared" si="18"/>
        <v>0</v>
      </c>
      <c r="AP37" s="66">
        <f t="shared" si="19"/>
        <v>409840.3562154292</v>
      </c>
      <c r="AQ37" s="66">
        <f t="shared" si="20"/>
        <v>142767.04842887356</v>
      </c>
      <c r="AR37" s="66">
        <f t="shared" si="21"/>
        <v>1330.1277803932319</v>
      </c>
      <c r="AS37" s="66">
        <f t="shared" si="22"/>
        <v>33253.194509830799</v>
      </c>
      <c r="AT37" s="66"/>
      <c r="AU37" s="4"/>
      <c r="AV37" s="4"/>
      <c r="AW37" s="4"/>
      <c r="AX37" s="4"/>
      <c r="AY37" s="4"/>
      <c r="AZ37" s="4"/>
      <c r="BA37" s="4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9">
        <f t="shared" si="4"/>
        <v>794183.74693452683</v>
      </c>
      <c r="BN37" s="9">
        <f t="shared" si="35"/>
        <v>609904.80567279272</v>
      </c>
      <c r="BO37" s="9">
        <f t="shared" si="23"/>
        <v>182810.9883687408</v>
      </c>
      <c r="BP37" s="9">
        <f t="shared" si="24"/>
        <v>1467.9528929932319</v>
      </c>
      <c r="BQ37" s="10">
        <f t="shared" si="25"/>
        <v>0</v>
      </c>
      <c r="BR37" s="9">
        <f t="shared" si="26"/>
        <v>794183.74693452672</v>
      </c>
      <c r="BS37" s="142">
        <f t="shared" si="36"/>
        <v>552607.40464430279</v>
      </c>
      <c r="BT37" s="83">
        <f t="shared" si="27"/>
        <v>552607</v>
      </c>
      <c r="BU37" s="175">
        <f t="shared" si="28"/>
        <v>5.3957889743285522E-4</v>
      </c>
      <c r="BV37" s="173">
        <f t="shared" si="29"/>
        <v>133012.82</v>
      </c>
      <c r="BW37" s="176">
        <f t="shared" si="30"/>
        <v>7.7550821154661047E-4</v>
      </c>
      <c r="BX37" s="177">
        <f t="shared" si="31"/>
        <v>0</v>
      </c>
      <c r="BY37" s="178">
        <f t="shared" si="32"/>
        <v>0</v>
      </c>
      <c r="BZ37" s="4"/>
      <c r="CA37" s="4"/>
      <c r="CB37" s="4"/>
      <c r="CC37" s="4"/>
      <c r="CD37" s="4"/>
      <c r="CE37" s="4"/>
      <c r="CF37" s="4"/>
      <c r="CG37" s="126">
        <f t="shared" si="33"/>
        <v>445518.86489805003</v>
      </c>
      <c r="CH37" s="126">
        <f t="shared" si="34"/>
        <v>183491.86510194998</v>
      </c>
      <c r="CI37" s="126"/>
      <c r="CJ37" s="126"/>
      <c r="CK37" s="9"/>
      <c r="CL37" s="9"/>
      <c r="CM37" s="127"/>
      <c r="CN37" s="9"/>
      <c r="CO37" s="9"/>
      <c r="CP37" s="9"/>
      <c r="CQ37" s="126"/>
      <c r="CR37" s="126"/>
      <c r="CS37" s="126"/>
      <c r="CT37" s="126"/>
      <c r="CU37" s="126"/>
      <c r="CV37" s="9"/>
      <c r="CW37" s="9"/>
      <c r="CX37" s="127"/>
      <c r="CY37" s="67"/>
      <c r="CZ37" s="67"/>
    </row>
    <row r="38" spans="1:104" x14ac:dyDescent="0.35">
      <c r="A38" s="143">
        <v>33</v>
      </c>
      <c r="B38" s="116" t="s">
        <v>486</v>
      </c>
      <c r="C38" s="144">
        <v>10473491.870867366</v>
      </c>
      <c r="D38" s="144">
        <v>1029857.08</v>
      </c>
      <c r="E38" s="144">
        <v>316510.3</v>
      </c>
      <c r="F38" s="145">
        <f t="shared" si="7"/>
        <v>1346367.38</v>
      </c>
      <c r="G38" s="144"/>
      <c r="H38" s="144"/>
      <c r="I38" s="145"/>
      <c r="J38" s="144">
        <v>225401.33</v>
      </c>
      <c r="K38" s="144">
        <v>58030.44</v>
      </c>
      <c r="L38" s="145">
        <f t="shared" si="8"/>
        <v>283431.77</v>
      </c>
      <c r="M38" s="146">
        <v>80197.27</v>
      </c>
      <c r="N38" s="146">
        <v>85006.41</v>
      </c>
      <c r="O38" s="145">
        <f t="shared" si="9"/>
        <v>165203.68</v>
      </c>
      <c r="P38" s="144">
        <v>497964.24</v>
      </c>
      <c r="Q38" s="144">
        <v>527825.84</v>
      </c>
      <c r="R38" s="147">
        <f t="shared" si="10"/>
        <v>1025790.08</v>
      </c>
      <c r="S38" s="117">
        <v>0</v>
      </c>
      <c r="T38" s="117">
        <v>0</v>
      </c>
      <c r="U38" s="146">
        <v>0</v>
      </c>
      <c r="V38" s="146">
        <v>0</v>
      </c>
      <c r="W38" s="4"/>
      <c r="X38" s="4"/>
      <c r="Y38" s="4"/>
      <c r="Z38" s="4"/>
      <c r="AA38" s="4"/>
      <c r="AB38" s="4"/>
      <c r="AC38" s="4"/>
      <c r="AD38" s="4"/>
      <c r="AE38" s="4"/>
      <c r="AF38" s="118">
        <f t="shared" si="11"/>
        <v>283431.77</v>
      </c>
      <c r="AG38" s="112">
        <f t="shared" si="11"/>
        <v>80197.27</v>
      </c>
      <c r="AH38" s="112">
        <f t="shared" si="11"/>
        <v>85006.41</v>
      </c>
      <c r="AI38" s="10">
        <f t="shared" si="12"/>
        <v>98676.533911489998</v>
      </c>
      <c r="AJ38" s="10">
        <f t="shared" si="13"/>
        <v>33188.878260830003</v>
      </c>
      <c r="AK38" s="10">
        <f t="shared" si="14"/>
        <v>307.77445583999997</v>
      </c>
      <c r="AL38" s="10">
        <f t="shared" si="15"/>
        <v>33030.493371839999</v>
      </c>
      <c r="AM38" s="10">
        <f t="shared" si="16"/>
        <v>0</v>
      </c>
      <c r="AN38" s="9">
        <f t="shared" si="17"/>
        <v>0</v>
      </c>
      <c r="AO38" s="10">
        <f t="shared" si="18"/>
        <v>0</v>
      </c>
      <c r="AP38" s="66">
        <f t="shared" si="19"/>
        <v>879556.56103148032</v>
      </c>
      <c r="AQ38" s="66">
        <f t="shared" si="20"/>
        <v>304215.9976659292</v>
      </c>
      <c r="AR38" s="66">
        <f t="shared" si="21"/>
        <v>2834.3105372602095</v>
      </c>
      <c r="AS38" s="66">
        <f t="shared" si="22"/>
        <v>70857.763431505242</v>
      </c>
      <c r="AT38" s="66"/>
      <c r="AU38" s="4"/>
      <c r="AV38" s="4"/>
      <c r="AW38" s="4"/>
      <c r="AX38" s="4"/>
      <c r="AY38" s="4"/>
      <c r="AZ38" s="4"/>
      <c r="BA38" s="4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9">
        <f t="shared" si="4"/>
        <v>1706100.082666175</v>
      </c>
      <c r="BN38" s="9">
        <f t="shared" si="35"/>
        <v>1315479.5859807394</v>
      </c>
      <c r="BO38" s="9">
        <f t="shared" si="23"/>
        <v>387478.41169233527</v>
      </c>
      <c r="BP38" s="9">
        <f t="shared" si="24"/>
        <v>3142.0849931002094</v>
      </c>
      <c r="BQ38" s="10">
        <f t="shared" si="25"/>
        <v>0</v>
      </c>
      <c r="BR38" s="9">
        <f t="shared" si="26"/>
        <v>1706100.082666175</v>
      </c>
      <c r="BS38" s="142">
        <f t="shared" si="36"/>
        <v>1183772.5586974095</v>
      </c>
      <c r="BT38" s="83">
        <f t="shared" si="27"/>
        <v>1183773</v>
      </c>
      <c r="BU38" s="175">
        <f t="shared" si="28"/>
        <v>1.1558634333616205E-3</v>
      </c>
      <c r="BV38" s="173">
        <f t="shared" si="29"/>
        <v>283431.77</v>
      </c>
      <c r="BW38" s="176">
        <f t="shared" si="30"/>
        <v>1.6524998496249479E-3</v>
      </c>
      <c r="BX38" s="177">
        <f t="shared" si="31"/>
        <v>0</v>
      </c>
      <c r="BY38" s="178">
        <f t="shared" si="32"/>
        <v>0</v>
      </c>
      <c r="BZ38" s="4"/>
      <c r="CA38" s="4"/>
      <c r="CB38" s="4"/>
      <c r="CC38" s="4"/>
      <c r="CD38" s="4"/>
      <c r="CE38" s="4"/>
      <c r="CF38" s="4"/>
      <c r="CG38" s="126">
        <f t="shared" si="33"/>
        <v>953611.81974330009</v>
      </c>
      <c r="CH38" s="126">
        <f t="shared" si="34"/>
        <v>392755.56025669997</v>
      </c>
      <c r="CI38" s="126"/>
      <c r="CJ38" s="126"/>
      <c r="CK38" s="9"/>
      <c r="CL38" s="9"/>
      <c r="CM38" s="127"/>
      <c r="CN38" s="9"/>
      <c r="CO38" s="9"/>
      <c r="CP38" s="9"/>
      <c r="CQ38" s="126"/>
      <c r="CR38" s="126"/>
      <c r="CS38" s="126"/>
      <c r="CT38" s="126"/>
      <c r="CU38" s="126"/>
      <c r="CV38" s="9"/>
      <c r="CW38" s="9"/>
      <c r="CX38" s="127"/>
      <c r="CY38" s="67"/>
      <c r="CZ38" s="67"/>
    </row>
    <row r="39" spans="1:104" x14ac:dyDescent="0.35">
      <c r="A39" s="143">
        <v>34</v>
      </c>
      <c r="B39" s="116" t="s">
        <v>487</v>
      </c>
      <c r="C39" s="144">
        <v>232564036.48385844</v>
      </c>
      <c r="D39" s="144">
        <v>20740712.190000001</v>
      </c>
      <c r="E39" s="144">
        <v>9155394.6999999993</v>
      </c>
      <c r="F39" s="145">
        <f t="shared" si="7"/>
        <v>29896106.890000001</v>
      </c>
      <c r="G39" s="144"/>
      <c r="H39" s="144"/>
      <c r="I39" s="145"/>
      <c r="J39" s="144">
        <v>4646860.7999999998</v>
      </c>
      <c r="K39" s="144">
        <v>1975069.43</v>
      </c>
      <c r="L39" s="145">
        <f t="shared" si="8"/>
        <v>6621930.2299999995</v>
      </c>
      <c r="M39" s="146">
        <v>1038477.04</v>
      </c>
      <c r="N39" s="146">
        <v>867274.69</v>
      </c>
      <c r="O39" s="145">
        <f t="shared" si="9"/>
        <v>1905751.73</v>
      </c>
      <c r="P39" s="144">
        <v>6448162.6600000001</v>
      </c>
      <c r="Q39" s="144">
        <v>5385125.7800000003</v>
      </c>
      <c r="R39" s="147">
        <f t="shared" si="10"/>
        <v>11833288.440000001</v>
      </c>
      <c r="S39" s="117">
        <v>11974.35</v>
      </c>
      <c r="T39" s="117">
        <v>0</v>
      </c>
      <c r="U39" s="146">
        <v>0</v>
      </c>
      <c r="V39" s="146">
        <v>5010</v>
      </c>
      <c r="W39" s="4"/>
      <c r="X39" s="4"/>
      <c r="Y39" s="4"/>
      <c r="Z39" s="4"/>
      <c r="AA39" s="4"/>
      <c r="AB39" s="4"/>
      <c r="AC39" s="4"/>
      <c r="AD39" s="4"/>
      <c r="AE39" s="4"/>
      <c r="AF39" s="118">
        <f t="shared" si="11"/>
        <v>6621930.2299999995</v>
      </c>
      <c r="AG39" s="112">
        <f t="shared" si="11"/>
        <v>1038477.04</v>
      </c>
      <c r="AH39" s="112">
        <f t="shared" si="11"/>
        <v>867274.69</v>
      </c>
      <c r="AI39" s="10">
        <f t="shared" si="12"/>
        <v>1131272.2393851299</v>
      </c>
      <c r="AJ39" s="10">
        <f t="shared" si="13"/>
        <v>389896.88574914</v>
      </c>
      <c r="AK39" s="10">
        <f t="shared" si="14"/>
        <v>3550.4154729900001</v>
      </c>
      <c r="AL39" s="10">
        <f t="shared" si="15"/>
        <v>381032.18939274002</v>
      </c>
      <c r="AM39" s="10">
        <f t="shared" si="16"/>
        <v>11974.35</v>
      </c>
      <c r="AN39" s="9">
        <f t="shared" si="17"/>
        <v>0</v>
      </c>
      <c r="AO39" s="10">
        <f t="shared" si="18"/>
        <v>0</v>
      </c>
      <c r="AP39" s="66">
        <f t="shared" si="19"/>
        <v>20755888.306863636</v>
      </c>
      <c r="AQ39" s="66">
        <f t="shared" si="20"/>
        <v>7107530.0870122416</v>
      </c>
      <c r="AR39" s="66">
        <f t="shared" si="21"/>
        <v>66219.224413157528</v>
      </c>
      <c r="AS39" s="66">
        <f t="shared" si="22"/>
        <v>1655480.6103289383</v>
      </c>
      <c r="AT39" s="66"/>
      <c r="AU39" s="4"/>
      <c r="AV39" s="4"/>
      <c r="AW39" s="4"/>
      <c r="AX39" s="4"/>
      <c r="AY39" s="4"/>
      <c r="AZ39" s="4"/>
      <c r="BA39" s="4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9">
        <f t="shared" si="4"/>
        <v>38124774.538617969</v>
      </c>
      <c r="BN39" s="9">
        <f t="shared" si="35"/>
        <v>29387697.17265375</v>
      </c>
      <c r="BO39" s="9">
        <f t="shared" si="23"/>
        <v>8667307.7260780782</v>
      </c>
      <c r="BP39" s="9">
        <f t="shared" si="24"/>
        <v>69769.639886147532</v>
      </c>
      <c r="BQ39" s="10">
        <f t="shared" si="25"/>
        <v>0</v>
      </c>
      <c r="BR39" s="9">
        <f t="shared" si="26"/>
        <v>38124774.538617976</v>
      </c>
      <c r="BS39" s="142">
        <f t="shared" si="36"/>
        <v>27863418.393875878</v>
      </c>
      <c r="BT39" s="83">
        <f t="shared" si="27"/>
        <v>27863418</v>
      </c>
      <c r="BU39" s="175">
        <f t="shared" si="28"/>
        <v>2.7206498590722213E-2</v>
      </c>
      <c r="BV39" s="173">
        <f t="shared" si="29"/>
        <v>6621930.2299999995</v>
      </c>
      <c r="BW39" s="176">
        <f t="shared" si="30"/>
        <v>3.8608017405042119E-2</v>
      </c>
      <c r="BX39" s="177">
        <f t="shared" si="31"/>
        <v>0</v>
      </c>
      <c r="BY39" s="178">
        <f t="shared" si="32"/>
        <v>0</v>
      </c>
      <c r="BZ39" s="4"/>
      <c r="CA39" s="4"/>
      <c r="CB39" s="4"/>
      <c r="CC39" s="4"/>
      <c r="CD39" s="4"/>
      <c r="CE39" s="4"/>
      <c r="CF39" s="4"/>
      <c r="CG39" s="126">
        <f t="shared" si="33"/>
        <v>21174964.068583652</v>
      </c>
      <c r="CH39" s="126">
        <f t="shared" si="34"/>
        <v>8721142.8214163501</v>
      </c>
      <c r="CI39" s="126"/>
      <c r="CJ39" s="126"/>
      <c r="CK39" s="9"/>
      <c r="CL39" s="9"/>
      <c r="CM39" s="127"/>
      <c r="CN39" s="9"/>
      <c r="CO39" s="9"/>
      <c r="CP39" s="9"/>
      <c r="CQ39" s="126"/>
      <c r="CR39" s="126"/>
      <c r="CS39" s="126"/>
      <c r="CT39" s="126"/>
      <c r="CU39" s="126"/>
      <c r="CV39" s="9"/>
      <c r="CW39" s="9"/>
      <c r="CX39" s="127"/>
      <c r="CY39" s="67"/>
      <c r="CZ39" s="67"/>
    </row>
    <row r="40" spans="1:104" x14ac:dyDescent="0.35">
      <c r="A40" s="143">
        <v>35</v>
      </c>
      <c r="B40" s="116" t="s">
        <v>488</v>
      </c>
      <c r="C40" s="144">
        <v>9624155.5814858023</v>
      </c>
      <c r="D40" s="144">
        <v>909324.24</v>
      </c>
      <c r="E40" s="144">
        <v>327860.96000000002</v>
      </c>
      <c r="F40" s="145">
        <f t="shared" si="7"/>
        <v>1237185.2</v>
      </c>
      <c r="G40" s="144"/>
      <c r="H40" s="144"/>
      <c r="I40" s="145"/>
      <c r="J40" s="144">
        <v>193020.48</v>
      </c>
      <c r="K40" s="144">
        <v>66319.33</v>
      </c>
      <c r="L40" s="145">
        <f t="shared" si="8"/>
        <v>259339.81</v>
      </c>
      <c r="M40" s="146">
        <v>103019.5</v>
      </c>
      <c r="N40" s="146">
        <v>54727.839999999997</v>
      </c>
      <c r="O40" s="145">
        <f t="shared" si="9"/>
        <v>157747.34</v>
      </c>
      <c r="P40" s="144">
        <v>639672.91</v>
      </c>
      <c r="Q40" s="144">
        <v>339818.58</v>
      </c>
      <c r="R40" s="147">
        <f t="shared" si="10"/>
        <v>979491.49</v>
      </c>
      <c r="S40" s="117">
        <v>0</v>
      </c>
      <c r="T40" s="117">
        <v>0</v>
      </c>
      <c r="U40" s="146">
        <v>0</v>
      </c>
      <c r="V40" s="146">
        <v>0</v>
      </c>
      <c r="W40" s="4"/>
      <c r="X40" s="4"/>
      <c r="Y40" s="4"/>
      <c r="Z40" s="4"/>
      <c r="AA40" s="4"/>
      <c r="AB40" s="4"/>
      <c r="AC40" s="4"/>
      <c r="AD40" s="4"/>
      <c r="AE40" s="4"/>
      <c r="AF40" s="118">
        <f t="shared" si="11"/>
        <v>259339.81</v>
      </c>
      <c r="AG40" s="112">
        <f t="shared" si="11"/>
        <v>103019.5</v>
      </c>
      <c r="AH40" s="112">
        <f t="shared" si="11"/>
        <v>54727.839999999997</v>
      </c>
      <c r="AI40" s="10">
        <f t="shared" si="12"/>
        <v>92580.989932800003</v>
      </c>
      <c r="AJ40" s="10">
        <f t="shared" si="13"/>
        <v>33332.779107859998</v>
      </c>
      <c r="AK40" s="10">
        <f t="shared" si="14"/>
        <v>293.88329441999997</v>
      </c>
      <c r="AL40" s="10">
        <f t="shared" si="15"/>
        <v>31539.687664919998</v>
      </c>
      <c r="AM40" s="10">
        <f t="shared" si="16"/>
        <v>0</v>
      </c>
      <c r="AN40" s="9">
        <f t="shared" si="17"/>
        <v>0</v>
      </c>
      <c r="AO40" s="10">
        <f t="shared" si="18"/>
        <v>0</v>
      </c>
      <c r="AP40" s="66">
        <f t="shared" si="19"/>
        <v>809203.02737661253</v>
      </c>
      <c r="AQ40" s="66">
        <f t="shared" si="20"/>
        <v>278358.18374584289</v>
      </c>
      <c r="AR40" s="66">
        <f t="shared" si="21"/>
        <v>2593.399227445741</v>
      </c>
      <c r="AS40" s="66">
        <f t="shared" si="22"/>
        <v>64834.980686143521</v>
      </c>
      <c r="AT40" s="66"/>
      <c r="AU40" s="4"/>
      <c r="AV40" s="4"/>
      <c r="AW40" s="4"/>
      <c r="AX40" s="4"/>
      <c r="AY40" s="4"/>
      <c r="AZ40" s="4"/>
      <c r="BA40" s="4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9">
        <f t="shared" si="4"/>
        <v>1572076.7410360447</v>
      </c>
      <c r="BN40" s="9">
        <f t="shared" si="35"/>
        <v>1211681.8887201755</v>
      </c>
      <c r="BO40" s="9">
        <f t="shared" si="23"/>
        <v>357507.5697940035</v>
      </c>
      <c r="BP40" s="9">
        <f t="shared" si="24"/>
        <v>2887.2825218657408</v>
      </c>
      <c r="BQ40" s="10">
        <f t="shared" si="25"/>
        <v>0</v>
      </c>
      <c r="BR40" s="9">
        <f t="shared" si="26"/>
        <v>1572076.7410360449</v>
      </c>
      <c r="BS40" s="142">
        <f t="shared" si="36"/>
        <v>1087561.2111224555</v>
      </c>
      <c r="BT40" s="83">
        <f t="shared" si="27"/>
        <v>1087561</v>
      </c>
      <c r="BU40" s="175">
        <f t="shared" si="28"/>
        <v>1.0619204054384999E-3</v>
      </c>
      <c r="BV40" s="173">
        <f t="shared" si="29"/>
        <v>259339.81</v>
      </c>
      <c r="BW40" s="176">
        <f t="shared" si="30"/>
        <v>1.5120358491455016E-3</v>
      </c>
      <c r="BX40" s="177">
        <f t="shared" si="31"/>
        <v>0</v>
      </c>
      <c r="BY40" s="178">
        <f t="shared" si="32"/>
        <v>0</v>
      </c>
      <c r="BZ40" s="4"/>
      <c r="CA40" s="4"/>
      <c r="CB40" s="4"/>
      <c r="CC40" s="4"/>
      <c r="CD40" s="4"/>
      <c r="CE40" s="4"/>
      <c r="CF40" s="4"/>
      <c r="CG40" s="126">
        <f t="shared" si="33"/>
        <v>876279.71938200016</v>
      </c>
      <c r="CH40" s="126">
        <f t="shared" si="34"/>
        <v>360905.48061800003</v>
      </c>
      <c r="CI40" s="126"/>
      <c r="CJ40" s="126"/>
      <c r="CK40" s="9"/>
      <c r="CL40" s="9"/>
      <c r="CM40" s="127"/>
      <c r="CN40" s="9"/>
      <c r="CO40" s="9"/>
      <c r="CP40" s="9"/>
      <c r="CQ40" s="126"/>
      <c r="CR40" s="126"/>
      <c r="CS40" s="126"/>
      <c r="CT40" s="126"/>
      <c r="CU40" s="126"/>
      <c r="CV40" s="9"/>
      <c r="CW40" s="9"/>
      <c r="CX40" s="127"/>
      <c r="CY40" s="67"/>
      <c r="CZ40" s="67"/>
    </row>
    <row r="41" spans="1:104" x14ac:dyDescent="0.35">
      <c r="A41" s="143">
        <v>36</v>
      </c>
      <c r="B41" s="116" t="s">
        <v>489</v>
      </c>
      <c r="C41" s="144">
        <v>26405890.003889538</v>
      </c>
      <c r="D41" s="144">
        <v>2766887.9</v>
      </c>
      <c r="E41" s="144">
        <v>627589.26</v>
      </c>
      <c r="F41" s="145">
        <f t="shared" si="7"/>
        <v>3394477.16</v>
      </c>
      <c r="G41" s="144"/>
      <c r="H41" s="144"/>
      <c r="I41" s="145"/>
      <c r="J41" s="144">
        <v>596149.97</v>
      </c>
      <c r="K41" s="144">
        <v>93650.82</v>
      </c>
      <c r="L41" s="145">
        <f t="shared" si="8"/>
        <v>689800.79</v>
      </c>
      <c r="M41" s="146">
        <v>266081.7</v>
      </c>
      <c r="N41" s="146">
        <v>283506.78999999998</v>
      </c>
      <c r="O41" s="145">
        <f t="shared" si="9"/>
        <v>549588.49</v>
      </c>
      <c r="P41" s="144">
        <v>1652168.67</v>
      </c>
      <c r="Q41" s="144">
        <v>1760365.25</v>
      </c>
      <c r="R41" s="147">
        <f t="shared" si="10"/>
        <v>3412533.92</v>
      </c>
      <c r="S41" s="117">
        <v>0</v>
      </c>
      <c r="T41" s="117">
        <v>0</v>
      </c>
      <c r="U41" s="146">
        <v>0</v>
      </c>
      <c r="V41" s="146">
        <v>7569.6</v>
      </c>
      <c r="W41" s="4"/>
      <c r="X41" s="4"/>
      <c r="Y41" s="4"/>
      <c r="Z41" s="4"/>
      <c r="AA41" s="4"/>
      <c r="AB41" s="4"/>
      <c r="AC41" s="4"/>
      <c r="AD41" s="4"/>
      <c r="AE41" s="4"/>
      <c r="AF41" s="118">
        <f t="shared" si="11"/>
        <v>689800.79</v>
      </c>
      <c r="AG41" s="112">
        <f t="shared" si="11"/>
        <v>266081.7</v>
      </c>
      <c r="AH41" s="112">
        <f t="shared" si="11"/>
        <v>283506.78999999998</v>
      </c>
      <c r="AI41" s="10">
        <f t="shared" si="12"/>
        <v>328314.73910995002</v>
      </c>
      <c r="AJ41" s="10">
        <f t="shared" si="13"/>
        <v>110366.24401955999</v>
      </c>
      <c r="AK41" s="10">
        <f t="shared" si="14"/>
        <v>1023.8833568700001</v>
      </c>
      <c r="AL41" s="10">
        <f t="shared" si="15"/>
        <v>109883.62351362</v>
      </c>
      <c r="AM41" s="10">
        <f t="shared" si="16"/>
        <v>0</v>
      </c>
      <c r="AN41" s="9">
        <f t="shared" si="17"/>
        <v>0</v>
      </c>
      <c r="AO41" s="10">
        <f t="shared" si="18"/>
        <v>0</v>
      </c>
      <c r="AP41" s="66">
        <f t="shared" si="19"/>
        <v>2124762.0537106041</v>
      </c>
      <c r="AQ41" s="66">
        <f t="shared" si="20"/>
        <v>740386.06590124301</v>
      </c>
      <c r="AR41" s="66">
        <f t="shared" si="21"/>
        <v>6898.0068251668599</v>
      </c>
      <c r="AS41" s="66">
        <f t="shared" si="22"/>
        <v>172450.17062917148</v>
      </c>
      <c r="AT41" s="66"/>
      <c r="AU41" s="4"/>
      <c r="AV41" s="4"/>
      <c r="AW41" s="4"/>
      <c r="AX41" s="4"/>
      <c r="AY41" s="4"/>
      <c r="AZ41" s="4"/>
      <c r="BA41" s="4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9">
        <f t="shared" si="4"/>
        <v>4283885.5770661859</v>
      </c>
      <c r="BN41" s="9">
        <f t="shared" si="35"/>
        <v>3303346.4822354172</v>
      </c>
      <c r="BO41" s="9">
        <f t="shared" si="23"/>
        <v>972617.20464873151</v>
      </c>
      <c r="BP41" s="9">
        <f t="shared" si="24"/>
        <v>7921.8901820368601</v>
      </c>
      <c r="BQ41" s="10">
        <f t="shared" si="25"/>
        <v>0</v>
      </c>
      <c r="BR41" s="9">
        <f t="shared" si="26"/>
        <v>4283885.5770661859</v>
      </c>
      <c r="BS41" s="142">
        <f t="shared" si="36"/>
        <v>2865148.1196118472</v>
      </c>
      <c r="BT41" s="83">
        <f t="shared" si="27"/>
        <v>2865148</v>
      </c>
      <c r="BU41" s="175">
        <f t="shared" si="28"/>
        <v>2.7975981689153744E-3</v>
      </c>
      <c r="BV41" s="173">
        <f t="shared" si="29"/>
        <v>689800.79</v>
      </c>
      <c r="BW41" s="176">
        <f t="shared" si="30"/>
        <v>4.0217640448216877E-3</v>
      </c>
      <c r="BX41" s="177">
        <f t="shared" si="31"/>
        <v>0</v>
      </c>
      <c r="BY41" s="178">
        <f t="shared" si="32"/>
        <v>0</v>
      </c>
      <c r="BZ41" s="4"/>
      <c r="CA41" s="4"/>
      <c r="CB41" s="4"/>
      <c r="CC41" s="4"/>
      <c r="CD41" s="4"/>
      <c r="CE41" s="4"/>
      <c r="CF41" s="4"/>
      <c r="CG41" s="126">
        <f t="shared" si="33"/>
        <v>2404257.2552706003</v>
      </c>
      <c r="CH41" s="126">
        <f t="shared" si="34"/>
        <v>990219.90472939995</v>
      </c>
      <c r="CI41" s="126"/>
      <c r="CJ41" s="126"/>
      <c r="CK41" s="9"/>
      <c r="CL41" s="9"/>
      <c r="CM41" s="127"/>
      <c r="CN41" s="9"/>
      <c r="CO41" s="9"/>
      <c r="CP41" s="9"/>
      <c r="CQ41" s="126"/>
      <c r="CR41" s="126"/>
      <c r="CS41" s="126"/>
      <c r="CT41" s="126"/>
      <c r="CU41" s="126"/>
      <c r="CV41" s="9"/>
      <c r="CW41" s="9"/>
      <c r="CX41" s="127"/>
      <c r="CY41" s="67"/>
      <c r="CZ41" s="67"/>
    </row>
    <row r="42" spans="1:104" x14ac:dyDescent="0.35">
      <c r="A42" s="143">
        <v>37</v>
      </c>
      <c r="B42" s="116" t="s">
        <v>490</v>
      </c>
      <c r="C42" s="144">
        <v>26531933.022170365</v>
      </c>
      <c r="D42" s="144">
        <v>2428589.1</v>
      </c>
      <c r="E42" s="144">
        <v>982090.89</v>
      </c>
      <c r="F42" s="145">
        <f t="shared" si="7"/>
        <v>3410679.99</v>
      </c>
      <c r="G42" s="144"/>
      <c r="H42" s="144"/>
      <c r="I42" s="145"/>
      <c r="J42" s="144">
        <v>546336.97</v>
      </c>
      <c r="K42" s="144">
        <v>205181.52</v>
      </c>
      <c r="L42" s="145">
        <f t="shared" si="8"/>
        <v>751518.49</v>
      </c>
      <c r="M42" s="146">
        <v>109678.47</v>
      </c>
      <c r="N42" s="146">
        <v>128903.72</v>
      </c>
      <c r="O42" s="145">
        <f t="shared" si="9"/>
        <v>238582.19</v>
      </c>
      <c r="P42" s="144">
        <v>681021.02</v>
      </c>
      <c r="Q42" s="144">
        <v>800396.1</v>
      </c>
      <c r="R42" s="147">
        <f t="shared" si="10"/>
        <v>1481417.12</v>
      </c>
      <c r="S42" s="117">
        <v>0</v>
      </c>
      <c r="T42" s="117">
        <v>0</v>
      </c>
      <c r="U42" s="146">
        <v>0</v>
      </c>
      <c r="V42" s="146">
        <v>0</v>
      </c>
      <c r="W42" s="4"/>
      <c r="X42" s="4"/>
      <c r="Y42" s="4"/>
      <c r="Z42" s="4"/>
      <c r="AA42" s="4"/>
      <c r="AB42" s="4"/>
      <c r="AC42" s="4"/>
      <c r="AD42" s="4"/>
      <c r="AE42" s="4"/>
      <c r="AF42" s="118">
        <f t="shared" si="11"/>
        <v>751518.49</v>
      </c>
      <c r="AG42" s="112">
        <f t="shared" si="11"/>
        <v>109678.47</v>
      </c>
      <c r="AH42" s="112">
        <f t="shared" si="11"/>
        <v>128903.72</v>
      </c>
      <c r="AI42" s="10">
        <f t="shared" si="12"/>
        <v>142886.93696684</v>
      </c>
      <c r="AJ42" s="10">
        <f t="shared" si="13"/>
        <v>47549.128508969996</v>
      </c>
      <c r="AK42" s="10">
        <f t="shared" si="14"/>
        <v>444.47861997000007</v>
      </c>
      <c r="AL42" s="10">
        <f t="shared" si="15"/>
        <v>47701.64590422</v>
      </c>
      <c r="AM42" s="10">
        <f t="shared" si="16"/>
        <v>0</v>
      </c>
      <c r="AN42" s="9">
        <f t="shared" si="17"/>
        <v>0</v>
      </c>
      <c r="AO42" s="10">
        <f t="shared" si="18"/>
        <v>0</v>
      </c>
      <c r="AP42" s="66">
        <f t="shared" si="19"/>
        <v>2349243.0918226</v>
      </c>
      <c r="AQ42" s="66">
        <f t="shared" si="20"/>
        <v>806626.61204988579</v>
      </c>
      <c r="AR42" s="66">
        <f t="shared" si="21"/>
        <v>7515.1547706511083</v>
      </c>
      <c r="AS42" s="66">
        <f t="shared" si="22"/>
        <v>187878.8692662777</v>
      </c>
      <c r="AT42" s="66"/>
      <c r="AU42" s="4"/>
      <c r="AV42" s="4"/>
      <c r="AW42" s="4"/>
      <c r="AX42" s="4"/>
      <c r="AY42" s="4"/>
      <c r="AZ42" s="4"/>
      <c r="BA42" s="4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9">
        <f t="shared" si="4"/>
        <v>4341364.4079094138</v>
      </c>
      <c r="BN42" s="9">
        <f t="shared" si="35"/>
        <v>3346458.2867435459</v>
      </c>
      <c r="BO42" s="9">
        <f t="shared" si="23"/>
        <v>986946.48777524778</v>
      </c>
      <c r="BP42" s="9">
        <f t="shared" si="24"/>
        <v>7959.6333906211084</v>
      </c>
      <c r="BQ42" s="10">
        <f t="shared" si="25"/>
        <v>0</v>
      </c>
      <c r="BR42" s="9">
        <f t="shared" si="26"/>
        <v>4341364.4079094147</v>
      </c>
      <c r="BS42" s="142">
        <f t="shared" si="36"/>
        <v>3155869.703872486</v>
      </c>
      <c r="BT42" s="83">
        <f t="shared" si="27"/>
        <v>3155870</v>
      </c>
      <c r="BU42" s="175">
        <f t="shared" si="28"/>
        <v>3.0814655774533749E-3</v>
      </c>
      <c r="BV42" s="173">
        <f t="shared" si="29"/>
        <v>751518.49</v>
      </c>
      <c r="BW42" s="176">
        <f t="shared" si="30"/>
        <v>4.3815984062597069E-3</v>
      </c>
      <c r="BX42" s="177">
        <f t="shared" si="31"/>
        <v>0</v>
      </c>
      <c r="BY42" s="178">
        <f t="shared" si="32"/>
        <v>0</v>
      </c>
      <c r="BZ42" s="4"/>
      <c r="CA42" s="4"/>
      <c r="CB42" s="4"/>
      <c r="CC42" s="4"/>
      <c r="CD42" s="4"/>
      <c r="CE42" s="4"/>
      <c r="CF42" s="4"/>
      <c r="CG42" s="126">
        <f t="shared" si="33"/>
        <v>2415733.4767171503</v>
      </c>
      <c r="CH42" s="126">
        <f t="shared" si="34"/>
        <v>994946.51328285015</v>
      </c>
      <c r="CI42" s="126"/>
      <c r="CJ42" s="126"/>
      <c r="CK42" s="9"/>
      <c r="CL42" s="9"/>
      <c r="CM42" s="127"/>
      <c r="CN42" s="9"/>
      <c r="CO42" s="9"/>
      <c r="CP42" s="9"/>
      <c r="CQ42" s="126"/>
      <c r="CR42" s="126"/>
      <c r="CS42" s="126"/>
      <c r="CT42" s="126"/>
      <c r="CU42" s="126"/>
      <c r="CV42" s="9"/>
      <c r="CW42" s="9"/>
      <c r="CX42" s="127"/>
      <c r="CY42" s="67"/>
      <c r="CZ42" s="67"/>
    </row>
    <row r="43" spans="1:104" x14ac:dyDescent="0.35">
      <c r="A43" s="143">
        <v>38</v>
      </c>
      <c r="B43" s="116" t="s">
        <v>491</v>
      </c>
      <c r="C43" s="144">
        <v>2749076.546091015</v>
      </c>
      <c r="D43" s="144">
        <v>225071.99</v>
      </c>
      <c r="E43" s="144">
        <v>128321.8</v>
      </c>
      <c r="F43" s="145">
        <f t="shared" si="7"/>
        <v>353393.79</v>
      </c>
      <c r="G43" s="144"/>
      <c r="H43" s="144"/>
      <c r="I43" s="145"/>
      <c r="J43" s="144">
        <v>50179.27</v>
      </c>
      <c r="K43" s="144">
        <v>25097.67</v>
      </c>
      <c r="L43" s="145">
        <f t="shared" si="8"/>
        <v>75276.94</v>
      </c>
      <c r="M43" s="146">
        <v>12594.93</v>
      </c>
      <c r="N43" s="146">
        <v>26031.59</v>
      </c>
      <c r="O43" s="145">
        <f t="shared" si="9"/>
        <v>38626.520000000004</v>
      </c>
      <c r="P43" s="144">
        <v>78205.19</v>
      </c>
      <c r="Q43" s="144">
        <v>161636.66</v>
      </c>
      <c r="R43" s="147">
        <f t="shared" si="10"/>
        <v>239841.85</v>
      </c>
      <c r="S43" s="117">
        <v>0</v>
      </c>
      <c r="T43" s="117">
        <v>0</v>
      </c>
      <c r="U43" s="146">
        <v>0</v>
      </c>
      <c r="V43" s="146">
        <v>0</v>
      </c>
      <c r="W43" s="4"/>
      <c r="X43" s="4"/>
      <c r="Y43" s="4"/>
      <c r="Z43" s="4"/>
      <c r="AA43" s="4"/>
      <c r="AB43" s="4"/>
      <c r="AC43" s="4"/>
      <c r="AD43" s="4"/>
      <c r="AE43" s="4"/>
      <c r="AF43" s="118">
        <f t="shared" si="11"/>
        <v>75276.94</v>
      </c>
      <c r="AG43" s="112">
        <f t="shared" si="11"/>
        <v>12594.93</v>
      </c>
      <c r="AH43" s="112">
        <f t="shared" si="11"/>
        <v>26031.59</v>
      </c>
      <c r="AI43" s="10">
        <f t="shared" si="12"/>
        <v>23453.95985291</v>
      </c>
      <c r="AJ43" s="10">
        <f t="shared" si="13"/>
        <v>7377.6897845699996</v>
      </c>
      <c r="AK43" s="10">
        <f t="shared" si="14"/>
        <v>71.96120676000001</v>
      </c>
      <c r="AL43" s="10">
        <f t="shared" si="15"/>
        <v>7722.9091557600004</v>
      </c>
      <c r="AM43" s="10">
        <f t="shared" si="16"/>
        <v>0</v>
      </c>
      <c r="AN43" s="9">
        <f t="shared" si="17"/>
        <v>0</v>
      </c>
      <c r="AO43" s="10">
        <f t="shared" si="18"/>
        <v>0</v>
      </c>
      <c r="AP43" s="66">
        <f t="shared" si="19"/>
        <v>236831.7006315568</v>
      </c>
      <c r="AQ43" s="66">
        <f t="shared" si="20"/>
        <v>80797.357214130694</v>
      </c>
      <c r="AR43" s="66">
        <f t="shared" si="21"/>
        <v>752.77040882730444</v>
      </c>
      <c r="AS43" s="66">
        <f t="shared" si="22"/>
        <v>18819.260220682612</v>
      </c>
      <c r="AT43" s="66"/>
      <c r="AU43" s="4"/>
      <c r="AV43" s="4"/>
      <c r="AW43" s="4"/>
      <c r="AX43" s="4"/>
      <c r="AY43" s="4"/>
      <c r="AZ43" s="4"/>
      <c r="BA43" s="4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9">
        <f t="shared" si="4"/>
        <v>451104.5484751974</v>
      </c>
      <c r="BN43" s="9">
        <f t="shared" si="35"/>
        <v>348805.92685435747</v>
      </c>
      <c r="BO43" s="9">
        <f t="shared" si="23"/>
        <v>101473.89000525262</v>
      </c>
      <c r="BP43" s="9">
        <f t="shared" si="24"/>
        <v>824.73161558730442</v>
      </c>
      <c r="BQ43" s="10">
        <f t="shared" si="25"/>
        <v>0</v>
      </c>
      <c r="BR43" s="9">
        <f t="shared" si="26"/>
        <v>451104.5484751974</v>
      </c>
      <c r="BS43" s="142">
        <f t="shared" si="36"/>
        <v>317629.05784568749</v>
      </c>
      <c r="BT43" s="83">
        <f t="shared" si="27"/>
        <v>317629</v>
      </c>
      <c r="BU43" s="175">
        <f t="shared" si="28"/>
        <v>3.1014050008129867E-4</v>
      </c>
      <c r="BV43" s="173">
        <f t="shared" si="29"/>
        <v>75276.94</v>
      </c>
      <c r="BW43" s="176">
        <f t="shared" si="30"/>
        <v>4.3888916203792613E-4</v>
      </c>
      <c r="BX43" s="177">
        <f t="shared" si="31"/>
        <v>0</v>
      </c>
      <c r="BY43" s="178">
        <f t="shared" si="32"/>
        <v>0</v>
      </c>
      <c r="BZ43" s="4"/>
      <c r="CA43" s="4"/>
      <c r="CB43" s="4"/>
      <c r="CC43" s="4"/>
      <c r="CD43" s="4"/>
      <c r="CE43" s="4"/>
      <c r="CF43" s="4"/>
      <c r="CG43" s="126">
        <f t="shared" si="33"/>
        <v>250303.52055015002</v>
      </c>
      <c r="CH43" s="126">
        <f t="shared" si="34"/>
        <v>103090.26944984999</v>
      </c>
      <c r="CI43" s="126"/>
      <c r="CJ43" s="126"/>
      <c r="CK43" s="9"/>
      <c r="CL43" s="9"/>
      <c r="CM43" s="127"/>
      <c r="CN43" s="9"/>
      <c r="CO43" s="9"/>
      <c r="CP43" s="9"/>
      <c r="CQ43" s="126"/>
      <c r="CR43" s="126"/>
      <c r="CS43" s="126"/>
      <c r="CT43" s="126"/>
      <c r="CU43" s="126"/>
      <c r="CV43" s="9"/>
      <c r="CW43" s="9"/>
      <c r="CX43" s="127"/>
      <c r="CY43" s="67"/>
      <c r="CZ43" s="67"/>
    </row>
    <row r="44" spans="1:104" x14ac:dyDescent="0.35">
      <c r="A44" s="143">
        <v>39</v>
      </c>
      <c r="B44" s="116" t="s">
        <v>492</v>
      </c>
      <c r="C44" s="144">
        <v>6969460.9879424348</v>
      </c>
      <c r="D44" s="144">
        <v>597485.96</v>
      </c>
      <c r="E44" s="144">
        <v>298438.25</v>
      </c>
      <c r="F44" s="145">
        <f t="shared" si="7"/>
        <v>895924.21</v>
      </c>
      <c r="G44" s="144"/>
      <c r="H44" s="144"/>
      <c r="I44" s="145"/>
      <c r="J44" s="144">
        <v>131479.98000000001</v>
      </c>
      <c r="K44" s="144">
        <v>69116.78</v>
      </c>
      <c r="L44" s="145">
        <f t="shared" si="8"/>
        <v>200596.76</v>
      </c>
      <c r="M44" s="146">
        <v>42717.03</v>
      </c>
      <c r="N44" s="146">
        <v>2846.98</v>
      </c>
      <c r="O44" s="145">
        <f t="shared" si="9"/>
        <v>45564.01</v>
      </c>
      <c r="P44" s="144">
        <v>265241.92</v>
      </c>
      <c r="Q44" s="144">
        <v>17677.599999999999</v>
      </c>
      <c r="R44" s="147">
        <f t="shared" si="10"/>
        <v>282919.51999999996</v>
      </c>
      <c r="S44" s="117">
        <v>0</v>
      </c>
      <c r="T44" s="117">
        <v>0</v>
      </c>
      <c r="U44" s="146">
        <v>0</v>
      </c>
      <c r="V44" s="146">
        <v>0</v>
      </c>
      <c r="W44" s="4"/>
      <c r="X44" s="4"/>
      <c r="Y44" s="4"/>
      <c r="Z44" s="4"/>
      <c r="AA44" s="4"/>
      <c r="AB44" s="4"/>
      <c r="AC44" s="4"/>
      <c r="AD44" s="4"/>
      <c r="AE44" s="4"/>
      <c r="AF44" s="118">
        <f t="shared" si="11"/>
        <v>200596.76</v>
      </c>
      <c r="AG44" s="112">
        <f t="shared" si="11"/>
        <v>42717.03</v>
      </c>
      <c r="AH44" s="112">
        <f t="shared" si="11"/>
        <v>2846.98</v>
      </c>
      <c r="AI44" s="10">
        <f t="shared" si="12"/>
        <v>25936.481710659998</v>
      </c>
      <c r="AJ44" s="10">
        <f t="shared" si="13"/>
        <v>10432.665507329999</v>
      </c>
      <c r="AK44" s="10">
        <f t="shared" si="14"/>
        <v>84.885750630000004</v>
      </c>
      <c r="AL44" s="10">
        <f t="shared" si="15"/>
        <v>9109.97703138</v>
      </c>
      <c r="AM44" s="10">
        <f t="shared" si="16"/>
        <v>0</v>
      </c>
      <c r="AN44" s="9">
        <f t="shared" si="17"/>
        <v>0</v>
      </c>
      <c r="AO44" s="10">
        <f t="shared" si="18"/>
        <v>0</v>
      </c>
      <c r="AP44" s="66">
        <f t="shared" si="19"/>
        <v>631848.55783391045</v>
      </c>
      <c r="AQ44" s="66">
        <f t="shared" si="20"/>
        <v>215306.6352677464</v>
      </c>
      <c r="AR44" s="66">
        <f t="shared" si="21"/>
        <v>2005.9624403827302</v>
      </c>
      <c r="AS44" s="66">
        <f t="shared" si="22"/>
        <v>50149.061009568264</v>
      </c>
      <c r="AT44" s="66"/>
      <c r="AU44" s="4"/>
      <c r="AV44" s="4"/>
      <c r="AW44" s="4"/>
      <c r="AX44" s="4"/>
      <c r="AY44" s="4"/>
      <c r="AZ44" s="4"/>
      <c r="BA44" s="4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9">
        <f t="shared" si="4"/>
        <v>1145470.986551608</v>
      </c>
      <c r="BN44" s="9">
        <f t="shared" si="35"/>
        <v>882201.65184369683</v>
      </c>
      <c r="BO44" s="9">
        <f t="shared" si="23"/>
        <v>261178.48651689827</v>
      </c>
      <c r="BP44" s="9">
        <f t="shared" si="24"/>
        <v>2090.8481910127302</v>
      </c>
      <c r="BQ44" s="10">
        <f t="shared" si="25"/>
        <v>0</v>
      </c>
      <c r="BR44" s="9">
        <f t="shared" si="26"/>
        <v>1145470.9865516077</v>
      </c>
      <c r="BS44" s="142">
        <f t="shared" si="36"/>
        <v>847155.19310165686</v>
      </c>
      <c r="BT44" s="83">
        <f t="shared" si="27"/>
        <v>847155</v>
      </c>
      <c r="BU44" s="175">
        <f t="shared" si="28"/>
        <v>8.2718230195003625E-4</v>
      </c>
      <c r="BV44" s="173">
        <f t="shared" si="29"/>
        <v>200596.76</v>
      </c>
      <c r="BW44" s="176">
        <f t="shared" si="30"/>
        <v>1.1695446693758139E-3</v>
      </c>
      <c r="BX44" s="177">
        <f t="shared" si="31"/>
        <v>0</v>
      </c>
      <c r="BY44" s="178">
        <f t="shared" si="32"/>
        <v>0</v>
      </c>
      <c r="BZ44" s="4"/>
      <c r="CA44" s="4"/>
      <c r="CB44" s="4"/>
      <c r="CC44" s="4"/>
      <c r="CD44" s="4"/>
      <c r="CE44" s="4"/>
      <c r="CF44" s="4"/>
      <c r="CG44" s="126">
        <f t="shared" si="33"/>
        <v>634569.67907984997</v>
      </c>
      <c r="CH44" s="126">
        <f t="shared" si="34"/>
        <v>261354.53092014999</v>
      </c>
      <c r="CI44" s="126"/>
      <c r="CJ44" s="126"/>
      <c r="CK44" s="9"/>
      <c r="CL44" s="9"/>
      <c r="CM44" s="127"/>
      <c r="CN44" s="9"/>
      <c r="CO44" s="9"/>
      <c r="CP44" s="9"/>
      <c r="CQ44" s="126"/>
      <c r="CR44" s="126"/>
      <c r="CS44" s="126"/>
      <c r="CT44" s="126"/>
      <c r="CU44" s="126"/>
      <c r="CV44" s="9"/>
      <c r="CW44" s="9"/>
      <c r="CX44" s="127"/>
      <c r="CY44" s="67"/>
      <c r="CZ44" s="67"/>
    </row>
    <row r="45" spans="1:104" x14ac:dyDescent="0.35">
      <c r="A45" s="143">
        <v>40</v>
      </c>
      <c r="B45" s="116" t="s">
        <v>493</v>
      </c>
      <c r="C45" s="144">
        <v>10649493.426682224</v>
      </c>
      <c r="D45" s="144">
        <v>983581.23</v>
      </c>
      <c r="E45" s="144">
        <v>385411.15</v>
      </c>
      <c r="F45" s="145">
        <f t="shared" si="7"/>
        <v>1368992.38</v>
      </c>
      <c r="G45" s="144"/>
      <c r="H45" s="144"/>
      <c r="I45" s="145"/>
      <c r="J45" s="144">
        <v>210729.93</v>
      </c>
      <c r="K45" s="144">
        <v>80339.41</v>
      </c>
      <c r="L45" s="145">
        <f t="shared" si="8"/>
        <v>291069.33999999997</v>
      </c>
      <c r="M45" s="146">
        <v>100991.16</v>
      </c>
      <c r="N45" s="146">
        <v>51566.47</v>
      </c>
      <c r="O45" s="145">
        <f t="shared" si="9"/>
        <v>152557.63</v>
      </c>
      <c r="P45" s="144">
        <v>627078.02</v>
      </c>
      <c r="Q45" s="144">
        <v>320186.90999999997</v>
      </c>
      <c r="R45" s="147">
        <f t="shared" si="10"/>
        <v>947264.92999999993</v>
      </c>
      <c r="S45" s="117">
        <v>0</v>
      </c>
      <c r="T45" s="117">
        <v>0</v>
      </c>
      <c r="U45" s="146">
        <v>0</v>
      </c>
      <c r="V45" s="146">
        <v>0</v>
      </c>
      <c r="W45" s="4"/>
      <c r="X45" s="4"/>
      <c r="Y45" s="4"/>
      <c r="Z45" s="4"/>
      <c r="AA45" s="4"/>
      <c r="AB45" s="4"/>
      <c r="AC45" s="4"/>
      <c r="AD45" s="4"/>
      <c r="AE45" s="4"/>
      <c r="AF45" s="118">
        <f t="shared" si="11"/>
        <v>291069.33999999997</v>
      </c>
      <c r="AG45" s="112">
        <f t="shared" si="11"/>
        <v>100991.16</v>
      </c>
      <c r="AH45" s="112">
        <f t="shared" si="11"/>
        <v>51566.47</v>
      </c>
      <c r="AI45" s="10">
        <f t="shared" si="12"/>
        <v>89450.678057469995</v>
      </c>
      <c r="AJ45" s="10">
        <f t="shared" si="13"/>
        <v>32320.669650900003</v>
      </c>
      <c r="AK45" s="10">
        <f t="shared" si="14"/>
        <v>284.21486469000001</v>
      </c>
      <c r="AL45" s="10">
        <f t="shared" si="15"/>
        <v>30502.067426940001</v>
      </c>
      <c r="AM45" s="10">
        <f t="shared" si="16"/>
        <v>0</v>
      </c>
      <c r="AN45" s="9">
        <f t="shared" si="17"/>
        <v>0</v>
      </c>
      <c r="AO45" s="10">
        <f t="shared" si="18"/>
        <v>0</v>
      </c>
      <c r="AP45" s="66">
        <f t="shared" si="19"/>
        <v>910167.45520397462</v>
      </c>
      <c r="AQ45" s="66">
        <f t="shared" si="20"/>
        <v>312411.75759316765</v>
      </c>
      <c r="AR45" s="66">
        <f t="shared" si="21"/>
        <v>2910.6685490046675</v>
      </c>
      <c r="AS45" s="66">
        <f t="shared" si="22"/>
        <v>72766.713725116686</v>
      </c>
      <c r="AT45" s="66"/>
      <c r="AU45" s="4"/>
      <c r="AV45" s="4"/>
      <c r="AW45" s="4"/>
      <c r="AX45" s="4"/>
      <c r="AY45" s="4"/>
      <c r="AZ45" s="4"/>
      <c r="BA45" s="4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9">
        <f t="shared" si="4"/>
        <v>1741883.5650712634</v>
      </c>
      <c r="BN45" s="9">
        <f t="shared" si="35"/>
        <v>1342531.9582815522</v>
      </c>
      <c r="BO45" s="9">
        <f t="shared" si="23"/>
        <v>396156.72337601666</v>
      </c>
      <c r="BP45" s="9">
        <f t="shared" si="24"/>
        <v>3194.8834136946675</v>
      </c>
      <c r="BQ45" s="10">
        <f t="shared" si="25"/>
        <v>0</v>
      </c>
      <c r="BR45" s="9">
        <f t="shared" si="26"/>
        <v>1741883.5650712634</v>
      </c>
      <c r="BS45" s="142">
        <f t="shared" si="36"/>
        <v>1222579.2127971423</v>
      </c>
      <c r="BT45" s="83">
        <f t="shared" si="27"/>
        <v>1222579</v>
      </c>
      <c r="BU45" s="175">
        <f t="shared" si="28"/>
        <v>1.1937551652787307E-3</v>
      </c>
      <c r="BV45" s="173">
        <f t="shared" si="29"/>
        <v>291069.33999999997</v>
      </c>
      <c r="BW45" s="176">
        <f t="shared" si="30"/>
        <v>1.697029378818164E-3</v>
      </c>
      <c r="BX45" s="177">
        <f t="shared" si="31"/>
        <v>0</v>
      </c>
      <c r="BY45" s="178">
        <f t="shared" si="32"/>
        <v>0</v>
      </c>
      <c r="BZ45" s="4"/>
      <c r="CA45" s="4"/>
      <c r="CB45" s="4"/>
      <c r="CC45" s="4"/>
      <c r="CD45" s="4"/>
      <c r="CE45" s="4"/>
      <c r="CF45" s="4"/>
      <c r="CG45" s="126">
        <f t="shared" si="33"/>
        <v>969636.76786830008</v>
      </c>
      <c r="CH45" s="126">
        <f t="shared" si="34"/>
        <v>399355.61213170004</v>
      </c>
      <c r="CI45" s="126"/>
      <c r="CJ45" s="126"/>
      <c r="CK45" s="9"/>
      <c r="CL45" s="9"/>
      <c r="CM45" s="127"/>
      <c r="CN45" s="9"/>
      <c r="CO45" s="9"/>
      <c r="CP45" s="9"/>
      <c r="CQ45" s="126"/>
      <c r="CR45" s="126"/>
      <c r="CS45" s="126"/>
      <c r="CT45" s="126"/>
      <c r="CU45" s="126"/>
      <c r="CV45" s="9"/>
      <c r="CW45" s="9"/>
      <c r="CX45" s="127"/>
      <c r="CY45" s="67"/>
      <c r="CZ45" s="67"/>
    </row>
    <row r="46" spans="1:104" x14ac:dyDescent="0.35">
      <c r="A46" s="143">
        <v>41</v>
      </c>
      <c r="B46" s="116" t="s">
        <v>494</v>
      </c>
      <c r="C46" s="144">
        <v>15425214.780241152</v>
      </c>
      <c r="D46" s="144">
        <v>1353251.63</v>
      </c>
      <c r="E46" s="144">
        <v>629659.73</v>
      </c>
      <c r="F46" s="145">
        <f t="shared" si="7"/>
        <v>1982911.3599999999</v>
      </c>
      <c r="G46" s="144"/>
      <c r="H46" s="144"/>
      <c r="I46" s="145"/>
      <c r="J46" s="144">
        <v>300793.8</v>
      </c>
      <c r="K46" s="144">
        <v>129514.55</v>
      </c>
      <c r="L46" s="145">
        <f t="shared" si="8"/>
        <v>430308.35</v>
      </c>
      <c r="M46" s="146">
        <v>80619.710000000006</v>
      </c>
      <c r="N46" s="146">
        <v>93568.29</v>
      </c>
      <c r="O46" s="145">
        <f t="shared" si="9"/>
        <v>174188</v>
      </c>
      <c r="P46" s="144">
        <v>500588.55</v>
      </c>
      <c r="Q46" s="144">
        <v>580986.82999999996</v>
      </c>
      <c r="R46" s="147">
        <f t="shared" si="10"/>
        <v>1081575.3799999999</v>
      </c>
      <c r="S46" s="117">
        <v>0</v>
      </c>
      <c r="T46" s="117">
        <v>0</v>
      </c>
      <c r="U46" s="146">
        <v>0</v>
      </c>
      <c r="V46" s="146">
        <v>0</v>
      </c>
      <c r="W46" s="4"/>
      <c r="X46" s="4"/>
      <c r="Y46" s="4"/>
      <c r="Z46" s="4"/>
      <c r="AA46" s="4"/>
      <c r="AB46" s="4"/>
      <c r="AC46" s="4"/>
      <c r="AD46" s="4"/>
      <c r="AE46" s="4"/>
      <c r="AF46" s="118">
        <f t="shared" si="11"/>
        <v>430308.35</v>
      </c>
      <c r="AG46" s="112">
        <f t="shared" si="11"/>
        <v>80619.710000000006</v>
      </c>
      <c r="AH46" s="112">
        <f t="shared" si="11"/>
        <v>93568.29</v>
      </c>
      <c r="AI46" s="10">
        <f t="shared" si="12"/>
        <v>104287.47000696999</v>
      </c>
      <c r="AJ46" s="10">
        <f t="shared" si="13"/>
        <v>34749.217405030002</v>
      </c>
      <c r="AK46" s="10">
        <f t="shared" si="14"/>
        <v>324.51224400000001</v>
      </c>
      <c r="AL46" s="10">
        <f t="shared" si="15"/>
        <v>34826.800344000003</v>
      </c>
      <c r="AM46" s="10">
        <f t="shared" si="16"/>
        <v>0</v>
      </c>
      <c r="AN46" s="9">
        <f t="shared" si="17"/>
        <v>0</v>
      </c>
      <c r="AO46" s="10">
        <f t="shared" si="18"/>
        <v>0</v>
      </c>
      <c r="AP46" s="66">
        <f t="shared" si="19"/>
        <v>1349160.1972638743</v>
      </c>
      <c r="AQ46" s="66">
        <f t="shared" si="20"/>
        <v>461865.18868776504</v>
      </c>
      <c r="AR46" s="66">
        <f t="shared" si="21"/>
        <v>4303.0918200723445</v>
      </c>
      <c r="AS46" s="66">
        <f t="shared" si="22"/>
        <v>107577.29550180864</v>
      </c>
      <c r="AT46" s="66"/>
      <c r="AU46" s="4"/>
      <c r="AV46" s="4"/>
      <c r="AW46" s="4"/>
      <c r="AX46" s="4"/>
      <c r="AY46" s="4"/>
      <c r="AZ46" s="4"/>
      <c r="BA46" s="4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9">
        <f t="shared" si="4"/>
        <v>2527402.1232735203</v>
      </c>
      <c r="BN46" s="9">
        <f t="shared" si="35"/>
        <v>1950139.6563026095</v>
      </c>
      <c r="BO46" s="9">
        <f t="shared" si="23"/>
        <v>572634.86290683853</v>
      </c>
      <c r="BP46" s="9">
        <f t="shared" si="24"/>
        <v>4627.604064072344</v>
      </c>
      <c r="BQ46" s="10">
        <f t="shared" si="25"/>
        <v>0</v>
      </c>
      <c r="BR46" s="9">
        <f t="shared" si="26"/>
        <v>2527402.1232735207</v>
      </c>
      <c r="BS46" s="142">
        <f t="shared" si="36"/>
        <v>1811025.3859516394</v>
      </c>
      <c r="BT46" s="83">
        <f t="shared" si="27"/>
        <v>1811025</v>
      </c>
      <c r="BU46" s="175">
        <f t="shared" si="28"/>
        <v>1.7683278811721423E-3</v>
      </c>
      <c r="BV46" s="173">
        <f t="shared" si="29"/>
        <v>430308.35</v>
      </c>
      <c r="BW46" s="176">
        <f t="shared" si="30"/>
        <v>2.508838312893997E-3</v>
      </c>
      <c r="BX46" s="177">
        <f t="shared" si="31"/>
        <v>0</v>
      </c>
      <c r="BY46" s="178">
        <f t="shared" si="32"/>
        <v>0</v>
      </c>
      <c r="BZ46" s="4"/>
      <c r="CA46" s="4"/>
      <c r="CB46" s="4"/>
      <c r="CC46" s="4"/>
      <c r="CD46" s="4"/>
      <c r="CE46" s="4"/>
      <c r="CF46" s="4"/>
      <c r="CG46" s="126">
        <f t="shared" si="33"/>
        <v>1404466.3726176</v>
      </c>
      <c r="CH46" s="126">
        <f t="shared" si="34"/>
        <v>578444.98738239997</v>
      </c>
      <c r="CI46" s="126"/>
      <c r="CJ46" s="126"/>
      <c r="CK46" s="9"/>
      <c r="CL46" s="9"/>
      <c r="CM46" s="127"/>
      <c r="CN46" s="9"/>
      <c r="CO46" s="9"/>
      <c r="CP46" s="9"/>
      <c r="CQ46" s="126"/>
      <c r="CR46" s="126"/>
      <c r="CS46" s="126"/>
      <c r="CT46" s="126"/>
      <c r="CU46" s="126"/>
      <c r="CV46" s="9"/>
      <c r="CW46" s="9"/>
      <c r="CX46" s="127"/>
      <c r="CY46" s="67"/>
      <c r="CZ46" s="67"/>
    </row>
    <row r="47" spans="1:104" x14ac:dyDescent="0.35">
      <c r="A47" s="143">
        <v>42</v>
      </c>
      <c r="B47" s="116" t="s">
        <v>495</v>
      </c>
      <c r="C47" s="144">
        <v>18676391.598599769</v>
      </c>
      <c r="D47" s="144">
        <v>1777158.8</v>
      </c>
      <c r="E47" s="144">
        <v>623691.34</v>
      </c>
      <c r="F47" s="145">
        <f t="shared" si="7"/>
        <v>2400850.14</v>
      </c>
      <c r="G47" s="144"/>
      <c r="H47" s="144"/>
      <c r="I47" s="145"/>
      <c r="J47" s="144">
        <v>385157.35</v>
      </c>
      <c r="K47" s="144">
        <v>132455.54999999999</v>
      </c>
      <c r="L47" s="145">
        <f t="shared" si="8"/>
        <v>517612.89999999997</v>
      </c>
      <c r="M47" s="146">
        <v>158813.29</v>
      </c>
      <c r="N47" s="146">
        <v>70314.149999999994</v>
      </c>
      <c r="O47" s="145">
        <f t="shared" si="9"/>
        <v>229127.44</v>
      </c>
      <c r="P47" s="144">
        <v>986106.49</v>
      </c>
      <c r="Q47" s="144">
        <v>436595.72</v>
      </c>
      <c r="R47" s="147">
        <f t="shared" si="10"/>
        <v>1422702.21</v>
      </c>
      <c r="S47" s="117">
        <v>0</v>
      </c>
      <c r="T47" s="117">
        <v>0</v>
      </c>
      <c r="U47" s="146">
        <v>0</v>
      </c>
      <c r="V47" s="146">
        <v>0</v>
      </c>
      <c r="W47" s="4"/>
      <c r="X47" s="4"/>
      <c r="Y47" s="4"/>
      <c r="Z47" s="4"/>
      <c r="AA47" s="4"/>
      <c r="AB47" s="4"/>
      <c r="AC47" s="4"/>
      <c r="AD47" s="4"/>
      <c r="AE47" s="4"/>
      <c r="AF47" s="118">
        <f t="shared" si="11"/>
        <v>517612.89999999997</v>
      </c>
      <c r="AG47" s="112">
        <f t="shared" si="11"/>
        <v>158813.29</v>
      </c>
      <c r="AH47" s="112">
        <f t="shared" si="11"/>
        <v>70314.149999999994</v>
      </c>
      <c r="AI47" s="10">
        <f t="shared" si="12"/>
        <v>133903.67297483</v>
      </c>
      <c r="AJ47" s="10">
        <f t="shared" si="13"/>
        <v>48985.620505730003</v>
      </c>
      <c r="AK47" s="10">
        <f t="shared" si="14"/>
        <v>426.86442072</v>
      </c>
      <c r="AL47" s="10">
        <f t="shared" si="15"/>
        <v>45811.282098720003</v>
      </c>
      <c r="AM47" s="10">
        <f t="shared" si="16"/>
        <v>0</v>
      </c>
      <c r="AN47" s="9">
        <f t="shared" si="17"/>
        <v>0</v>
      </c>
      <c r="AO47" s="10">
        <f t="shared" si="18"/>
        <v>0</v>
      </c>
      <c r="AP47" s="66">
        <f t="shared" si="19"/>
        <v>1615099.8743118998</v>
      </c>
      <c r="AQ47" s="66">
        <f t="shared" si="20"/>
        <v>555568.79831291246</v>
      </c>
      <c r="AR47" s="66">
        <f t="shared" si="21"/>
        <v>5176.1068165799297</v>
      </c>
      <c r="AS47" s="66">
        <f t="shared" si="22"/>
        <v>129402.67041449825</v>
      </c>
      <c r="AT47" s="66"/>
      <c r="AU47" s="4"/>
      <c r="AV47" s="4"/>
      <c r="AW47" s="4"/>
      <c r="AX47" s="4"/>
      <c r="AY47" s="4"/>
      <c r="AZ47" s="4"/>
      <c r="BA47" s="4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9">
        <f t="shared" si="4"/>
        <v>3051987.78985589</v>
      </c>
      <c r="BN47" s="9">
        <f t="shared" si="35"/>
        <v>2350383.6276983619</v>
      </c>
      <c r="BO47" s="9">
        <f t="shared" si="23"/>
        <v>696001.19092022814</v>
      </c>
      <c r="BP47" s="9">
        <f t="shared" si="24"/>
        <v>5602.9712372999293</v>
      </c>
      <c r="BQ47" s="10">
        <f t="shared" si="25"/>
        <v>0</v>
      </c>
      <c r="BR47" s="9">
        <f t="shared" si="26"/>
        <v>3051987.78985589</v>
      </c>
      <c r="BS47" s="142">
        <f t="shared" si="36"/>
        <v>2170668.6726248125</v>
      </c>
      <c r="BT47" s="83">
        <f t="shared" si="27"/>
        <v>2170669</v>
      </c>
      <c r="BU47" s="175">
        <f t="shared" si="28"/>
        <v>2.1194920647522506E-3</v>
      </c>
      <c r="BV47" s="173">
        <f t="shared" si="29"/>
        <v>517612.89999999997</v>
      </c>
      <c r="BW47" s="176">
        <f t="shared" si="30"/>
        <v>3.0178523720680046E-3</v>
      </c>
      <c r="BX47" s="177">
        <f t="shared" si="31"/>
        <v>0</v>
      </c>
      <c r="BY47" s="178">
        <f t="shared" si="32"/>
        <v>0</v>
      </c>
      <c r="BZ47" s="4"/>
      <c r="CA47" s="4"/>
      <c r="CB47" s="4"/>
      <c r="CC47" s="4"/>
      <c r="CD47" s="4"/>
      <c r="CE47" s="4"/>
      <c r="CF47" s="4"/>
      <c r="CG47" s="126">
        <f t="shared" si="33"/>
        <v>1700486.1414099</v>
      </c>
      <c r="CH47" s="126">
        <f t="shared" si="34"/>
        <v>700363.99859009997</v>
      </c>
      <c r="CI47" s="126"/>
      <c r="CJ47" s="126"/>
      <c r="CK47" s="9"/>
      <c r="CL47" s="9"/>
      <c r="CM47" s="127"/>
      <c r="CN47" s="9"/>
      <c r="CO47" s="9"/>
      <c r="CP47" s="9"/>
      <c r="CQ47" s="126"/>
      <c r="CR47" s="126"/>
      <c r="CS47" s="126"/>
      <c r="CT47" s="126"/>
      <c r="CU47" s="126"/>
      <c r="CV47" s="9"/>
      <c r="CW47" s="9"/>
      <c r="CX47" s="127"/>
      <c r="CY47" s="67"/>
      <c r="CZ47" s="67"/>
    </row>
    <row r="48" spans="1:104" x14ac:dyDescent="0.35">
      <c r="A48" s="143">
        <v>43</v>
      </c>
      <c r="B48" s="116" t="s">
        <v>496</v>
      </c>
      <c r="C48" s="144">
        <v>17791464.566316608</v>
      </c>
      <c r="D48" s="144">
        <v>1821907.57</v>
      </c>
      <c r="E48" s="144">
        <v>465185.2</v>
      </c>
      <c r="F48" s="145">
        <f t="shared" si="7"/>
        <v>2287092.77</v>
      </c>
      <c r="G48" s="144"/>
      <c r="H48" s="144"/>
      <c r="I48" s="145"/>
      <c r="J48" s="144">
        <v>384753.36</v>
      </c>
      <c r="K48" s="144">
        <v>97280.98</v>
      </c>
      <c r="L48" s="145">
        <f t="shared" si="8"/>
        <v>482034.33999999997</v>
      </c>
      <c r="M48" s="146">
        <v>217047.5</v>
      </c>
      <c r="N48" s="146">
        <v>60564.76</v>
      </c>
      <c r="O48" s="145">
        <f t="shared" si="9"/>
        <v>277612.26</v>
      </c>
      <c r="P48" s="144">
        <v>1347699.68</v>
      </c>
      <c r="Q48" s="144">
        <v>376061.06</v>
      </c>
      <c r="R48" s="147">
        <f t="shared" si="10"/>
        <v>1723760.74</v>
      </c>
      <c r="S48" s="117">
        <v>0</v>
      </c>
      <c r="T48" s="117">
        <v>0</v>
      </c>
      <c r="U48" s="146">
        <v>0</v>
      </c>
      <c r="V48" s="146">
        <v>0</v>
      </c>
      <c r="W48" s="4"/>
      <c r="X48" s="4"/>
      <c r="Y48" s="4"/>
      <c r="Z48" s="4"/>
      <c r="AA48" s="4"/>
      <c r="AB48" s="4"/>
      <c r="AC48" s="4"/>
      <c r="AD48" s="4"/>
      <c r="AE48" s="4"/>
      <c r="AF48" s="118">
        <f t="shared" si="11"/>
        <v>482034.33999999997</v>
      </c>
      <c r="AG48" s="112">
        <f t="shared" si="11"/>
        <v>217047.5</v>
      </c>
      <c r="AH48" s="112">
        <f t="shared" si="11"/>
        <v>60564.76</v>
      </c>
      <c r="AI48" s="10">
        <f t="shared" si="12"/>
        <v>160709.2940582</v>
      </c>
      <c r="AJ48" s="10">
        <f t="shared" si="13"/>
        <v>60880.53426154</v>
      </c>
      <c r="AK48" s="10">
        <f t="shared" si="14"/>
        <v>517.19164037999997</v>
      </c>
      <c r="AL48" s="10">
        <f t="shared" si="15"/>
        <v>55505.240039880002</v>
      </c>
      <c r="AM48" s="10">
        <f t="shared" si="16"/>
        <v>0</v>
      </c>
      <c r="AN48" s="9">
        <f t="shared" si="17"/>
        <v>0</v>
      </c>
      <c r="AO48" s="10">
        <f t="shared" si="18"/>
        <v>0</v>
      </c>
      <c r="AP48" s="66">
        <f t="shared" si="19"/>
        <v>1495390.9250809541</v>
      </c>
      <c r="AQ48" s="66">
        <f t="shared" si="20"/>
        <v>517380.06320739479</v>
      </c>
      <c r="AR48" s="66">
        <f t="shared" si="21"/>
        <v>4820.3111478949822</v>
      </c>
      <c r="AS48" s="66">
        <f t="shared" si="22"/>
        <v>120507.77869737457</v>
      </c>
      <c r="AT48" s="66"/>
      <c r="AU48" s="4"/>
      <c r="AV48" s="4"/>
      <c r="AW48" s="4"/>
      <c r="AX48" s="4"/>
      <c r="AY48" s="4"/>
      <c r="AZ48" s="4"/>
      <c r="BA48" s="4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9">
        <f t="shared" si="4"/>
        <v>2897745.6781336186</v>
      </c>
      <c r="BN48" s="9">
        <f t="shared" si="35"/>
        <v>2228985.5223864289</v>
      </c>
      <c r="BO48" s="9">
        <f t="shared" si="23"/>
        <v>663422.65295891464</v>
      </c>
      <c r="BP48" s="9">
        <f t="shared" si="24"/>
        <v>5337.5027882749819</v>
      </c>
      <c r="BQ48" s="10">
        <f t="shared" si="25"/>
        <v>0</v>
      </c>
      <c r="BR48" s="9">
        <f t="shared" si="26"/>
        <v>2897745.6781336186</v>
      </c>
      <c r="BS48" s="142">
        <f t="shared" si="36"/>
        <v>2012770.988288349</v>
      </c>
      <c r="BT48" s="83">
        <f t="shared" si="27"/>
        <v>2012771</v>
      </c>
      <c r="BU48" s="175">
        <f t="shared" si="28"/>
        <v>1.9653170433800529E-3</v>
      </c>
      <c r="BV48" s="173">
        <f t="shared" si="29"/>
        <v>482034.33999999997</v>
      </c>
      <c r="BW48" s="176">
        <f t="shared" si="30"/>
        <v>2.8104177395641317E-3</v>
      </c>
      <c r="BX48" s="177">
        <f t="shared" si="31"/>
        <v>0</v>
      </c>
      <c r="BY48" s="178">
        <f t="shared" si="32"/>
        <v>0</v>
      </c>
      <c r="BZ48" s="4"/>
      <c r="CA48" s="4"/>
      <c r="CB48" s="4"/>
      <c r="CC48" s="4"/>
      <c r="CD48" s="4"/>
      <c r="CE48" s="4"/>
      <c r="CF48" s="4"/>
      <c r="CG48" s="126">
        <f t="shared" si="33"/>
        <v>1619913.5025994503</v>
      </c>
      <c r="CH48" s="126">
        <f t="shared" si="34"/>
        <v>667179.26740054996</v>
      </c>
      <c r="CI48" s="126"/>
      <c r="CJ48" s="126"/>
      <c r="CK48" s="9"/>
      <c r="CL48" s="9"/>
      <c r="CM48" s="127"/>
      <c r="CN48" s="9"/>
      <c r="CO48" s="9"/>
      <c r="CP48" s="9"/>
      <c r="CQ48" s="126"/>
      <c r="CR48" s="126"/>
      <c r="CS48" s="126"/>
      <c r="CT48" s="126"/>
      <c r="CU48" s="126"/>
      <c r="CV48" s="9"/>
      <c r="CW48" s="9"/>
      <c r="CX48" s="127"/>
      <c r="CY48" s="67"/>
      <c r="CZ48" s="67"/>
    </row>
    <row r="49" spans="1:104" x14ac:dyDescent="0.35">
      <c r="A49" s="143">
        <v>44</v>
      </c>
      <c r="B49" s="116" t="s">
        <v>497</v>
      </c>
      <c r="C49" s="144">
        <v>7443300.7390120579</v>
      </c>
      <c r="D49" s="144">
        <v>726940.99</v>
      </c>
      <c r="E49" s="144">
        <v>229895.32</v>
      </c>
      <c r="F49" s="145">
        <f t="shared" si="7"/>
        <v>956836.31</v>
      </c>
      <c r="G49" s="144"/>
      <c r="H49" s="144"/>
      <c r="I49" s="145"/>
      <c r="J49" s="144">
        <v>152628.92000000001</v>
      </c>
      <c r="K49" s="144">
        <v>47328.01</v>
      </c>
      <c r="L49" s="145">
        <f t="shared" si="8"/>
        <v>199956.93000000002</v>
      </c>
      <c r="M49" s="146">
        <v>91363.72</v>
      </c>
      <c r="N49" s="146">
        <v>33943.31</v>
      </c>
      <c r="O49" s="145">
        <f t="shared" si="9"/>
        <v>125307.03</v>
      </c>
      <c r="P49" s="144">
        <v>567303.28</v>
      </c>
      <c r="Q49" s="144">
        <v>210761.32</v>
      </c>
      <c r="R49" s="147">
        <f t="shared" si="10"/>
        <v>778064.60000000009</v>
      </c>
      <c r="S49" s="117">
        <v>0</v>
      </c>
      <c r="T49" s="117">
        <v>0</v>
      </c>
      <c r="U49" s="146">
        <v>0</v>
      </c>
      <c r="V49" s="146">
        <v>0</v>
      </c>
      <c r="W49" s="4"/>
      <c r="X49" s="4"/>
      <c r="Y49" s="4"/>
      <c r="Z49" s="4"/>
      <c r="AA49" s="4"/>
      <c r="AB49" s="4"/>
      <c r="AC49" s="4"/>
      <c r="AD49" s="4"/>
      <c r="AE49" s="4"/>
      <c r="AF49" s="118">
        <f t="shared" si="11"/>
        <v>199956.93000000002</v>
      </c>
      <c r="AG49" s="112">
        <f t="shared" si="11"/>
        <v>91363.72</v>
      </c>
      <c r="AH49" s="112">
        <f t="shared" si="11"/>
        <v>33943.31</v>
      </c>
      <c r="AI49" s="10">
        <f t="shared" si="12"/>
        <v>72950.221972389991</v>
      </c>
      <c r="AJ49" s="10">
        <f t="shared" si="13"/>
        <v>27069.724066579998</v>
      </c>
      <c r="AK49" s="10">
        <f t="shared" si="14"/>
        <v>233.44699689000001</v>
      </c>
      <c r="AL49" s="10">
        <f t="shared" si="15"/>
        <v>25053.636964140002</v>
      </c>
      <c r="AM49" s="10">
        <f t="shared" si="16"/>
        <v>0</v>
      </c>
      <c r="AN49" s="9">
        <f t="shared" si="17"/>
        <v>0</v>
      </c>
      <c r="AO49" s="10">
        <f t="shared" si="18"/>
        <v>0</v>
      </c>
      <c r="AP49" s="66">
        <f t="shared" si="19"/>
        <v>622645.86498944764</v>
      </c>
      <c r="AQ49" s="66">
        <f t="shared" si="20"/>
        <v>214620.60367618821</v>
      </c>
      <c r="AR49" s="66">
        <f t="shared" si="21"/>
        <v>1999.5708417036171</v>
      </c>
      <c r="AS49" s="66">
        <f t="shared" si="22"/>
        <v>49989.27104259043</v>
      </c>
      <c r="AT49" s="66"/>
      <c r="AU49" s="4"/>
      <c r="AV49" s="4"/>
      <c r="AW49" s="4"/>
      <c r="AX49" s="4"/>
      <c r="AY49" s="4"/>
      <c r="AZ49" s="4"/>
      <c r="BA49" s="4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9">
        <f t="shared" si="4"/>
        <v>1214519.2705499299</v>
      </c>
      <c r="BN49" s="9">
        <f t="shared" si="35"/>
        <v>935270.32760216575</v>
      </c>
      <c r="BO49" s="9">
        <f t="shared" si="23"/>
        <v>277015.92510917044</v>
      </c>
      <c r="BP49" s="9">
        <f t="shared" si="24"/>
        <v>2233.0178385936169</v>
      </c>
      <c r="BQ49" s="10">
        <f t="shared" si="25"/>
        <v>0</v>
      </c>
      <c r="BR49" s="9">
        <f t="shared" si="26"/>
        <v>1214519.2705499297</v>
      </c>
      <c r="BS49" s="142">
        <f t="shared" si="36"/>
        <v>837266.46866563591</v>
      </c>
      <c r="BT49" s="83">
        <f t="shared" si="27"/>
        <v>837266</v>
      </c>
      <c r="BU49" s="175">
        <f t="shared" si="28"/>
        <v>8.1752671828727304E-4</v>
      </c>
      <c r="BV49" s="173">
        <f t="shared" si="29"/>
        <v>199956.93000000002</v>
      </c>
      <c r="BW49" s="176">
        <f t="shared" si="30"/>
        <v>1.1658142513680321E-3</v>
      </c>
      <c r="BX49" s="177">
        <f t="shared" si="31"/>
        <v>0</v>
      </c>
      <c r="BY49" s="178">
        <f t="shared" si="32"/>
        <v>0</v>
      </c>
      <c r="BZ49" s="4"/>
      <c r="CA49" s="4"/>
      <c r="CB49" s="4"/>
      <c r="CC49" s="4"/>
      <c r="CD49" s="4"/>
      <c r="CE49" s="4"/>
      <c r="CF49" s="4"/>
      <c r="CG49" s="126">
        <f t="shared" si="33"/>
        <v>677712.80582835013</v>
      </c>
      <c r="CH49" s="126">
        <f t="shared" si="34"/>
        <v>279123.50417164998</v>
      </c>
      <c r="CI49" s="126"/>
      <c r="CJ49" s="126"/>
      <c r="CK49" s="9"/>
      <c r="CL49" s="9"/>
      <c r="CM49" s="127"/>
      <c r="CN49" s="9"/>
      <c r="CO49" s="9"/>
      <c r="CP49" s="9"/>
      <c r="CQ49" s="126"/>
      <c r="CR49" s="126"/>
      <c r="CS49" s="126"/>
      <c r="CT49" s="126"/>
      <c r="CU49" s="126"/>
      <c r="CV49" s="9"/>
      <c r="CW49" s="9"/>
      <c r="CX49" s="127"/>
      <c r="CY49" s="67"/>
      <c r="CZ49" s="67"/>
    </row>
    <row r="50" spans="1:104" x14ac:dyDescent="0.35">
      <c r="A50" s="143">
        <v>45</v>
      </c>
      <c r="B50" s="116" t="s">
        <v>498</v>
      </c>
      <c r="C50" s="144">
        <v>12170377.674056787</v>
      </c>
      <c r="D50" s="144">
        <v>1153150.08</v>
      </c>
      <c r="E50" s="144">
        <v>411351.97</v>
      </c>
      <c r="F50" s="145">
        <f t="shared" si="7"/>
        <v>1564502.05</v>
      </c>
      <c r="G50" s="144"/>
      <c r="H50" s="144"/>
      <c r="I50" s="145"/>
      <c r="J50" s="144">
        <v>261404.59</v>
      </c>
      <c r="K50" s="144">
        <v>81870.55</v>
      </c>
      <c r="L50" s="145">
        <f t="shared" si="8"/>
        <v>343275.14</v>
      </c>
      <c r="M50" s="146">
        <v>41382.32</v>
      </c>
      <c r="N50" s="146">
        <v>75847.55</v>
      </c>
      <c r="O50" s="145">
        <f t="shared" si="9"/>
        <v>117229.87</v>
      </c>
      <c r="P50" s="144">
        <v>256953.55</v>
      </c>
      <c r="Q50" s="144">
        <v>470956.45</v>
      </c>
      <c r="R50" s="147">
        <f t="shared" si="10"/>
        <v>727910</v>
      </c>
      <c r="S50" s="117">
        <v>0</v>
      </c>
      <c r="T50" s="117">
        <v>0</v>
      </c>
      <c r="U50" s="146">
        <v>0</v>
      </c>
      <c r="V50" s="146">
        <v>0</v>
      </c>
      <c r="W50" s="4"/>
      <c r="X50" s="4"/>
      <c r="Y50" s="4"/>
      <c r="Z50" s="4"/>
      <c r="AA50" s="4"/>
      <c r="AB50" s="4"/>
      <c r="AC50" s="4"/>
      <c r="AD50" s="4"/>
      <c r="AE50" s="4"/>
      <c r="AF50" s="118">
        <f t="shared" si="11"/>
        <v>343275.14</v>
      </c>
      <c r="AG50" s="112">
        <f t="shared" si="11"/>
        <v>41382.32</v>
      </c>
      <c r="AH50" s="112">
        <f t="shared" si="11"/>
        <v>75847.55</v>
      </c>
      <c r="AI50" s="10">
        <f t="shared" si="12"/>
        <v>70985.743386390008</v>
      </c>
      <c r="AJ50" s="10">
        <f t="shared" si="13"/>
        <v>22587.02161774</v>
      </c>
      <c r="AK50" s="10">
        <f t="shared" si="14"/>
        <v>218.39924781000002</v>
      </c>
      <c r="AL50" s="10">
        <f t="shared" si="15"/>
        <v>23438.705748059998</v>
      </c>
      <c r="AM50" s="10">
        <f t="shared" si="16"/>
        <v>0</v>
      </c>
      <c r="AN50" s="9">
        <f t="shared" si="17"/>
        <v>0</v>
      </c>
      <c r="AO50" s="10">
        <f t="shared" si="18"/>
        <v>0</v>
      </c>
      <c r="AP50" s="66">
        <f t="shared" si="19"/>
        <v>1069126.4925632048</v>
      </c>
      <c r="AQ50" s="66">
        <f t="shared" si="20"/>
        <v>368447.45910462853</v>
      </c>
      <c r="AR50" s="66">
        <f t="shared" si="21"/>
        <v>3432.7403022170356</v>
      </c>
      <c r="AS50" s="66">
        <f t="shared" si="22"/>
        <v>85818.507555425895</v>
      </c>
      <c r="AT50" s="66"/>
      <c r="AU50" s="4"/>
      <c r="AV50" s="4"/>
      <c r="AW50" s="4"/>
      <c r="AX50" s="4"/>
      <c r="AY50" s="4"/>
      <c r="AZ50" s="4"/>
      <c r="BA50" s="4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9">
        <f t="shared" si="4"/>
        <v>1987330.2095254762</v>
      </c>
      <c r="BN50" s="9">
        <f t="shared" si="35"/>
        <v>1531998.4008022833</v>
      </c>
      <c r="BO50" s="9">
        <f t="shared" si="23"/>
        <v>451680.66917316592</v>
      </c>
      <c r="BP50" s="9">
        <f t="shared" si="24"/>
        <v>3651.1395500270355</v>
      </c>
      <c r="BQ50" s="10">
        <f t="shared" si="25"/>
        <v>0</v>
      </c>
      <c r="BR50" s="9">
        <f t="shared" si="26"/>
        <v>1987330.2095254762</v>
      </c>
      <c r="BS50" s="142">
        <f t="shared" si="36"/>
        <v>1437573.9516678334</v>
      </c>
      <c r="BT50" s="83">
        <f t="shared" si="27"/>
        <v>1437574</v>
      </c>
      <c r="BU50" s="175">
        <f t="shared" si="28"/>
        <v>1.4036810967424653E-3</v>
      </c>
      <c r="BV50" s="173">
        <f t="shared" si="29"/>
        <v>343275.14</v>
      </c>
      <c r="BW50" s="176">
        <f t="shared" si="30"/>
        <v>2.0014062545987096E-3</v>
      </c>
      <c r="BX50" s="177">
        <f t="shared" si="31"/>
        <v>0</v>
      </c>
      <c r="BY50" s="178">
        <f t="shared" si="32"/>
        <v>0</v>
      </c>
      <c r="BZ50" s="4"/>
      <c r="CA50" s="4"/>
      <c r="CB50" s="4"/>
      <c r="CC50" s="4"/>
      <c r="CD50" s="4"/>
      <c r="CE50" s="4"/>
      <c r="CF50" s="4"/>
      <c r="CG50" s="126">
        <f t="shared" si="33"/>
        <v>1108113.3344842501</v>
      </c>
      <c r="CH50" s="126">
        <f t="shared" si="34"/>
        <v>456388.71551574999</v>
      </c>
      <c r="CI50" s="126"/>
      <c r="CJ50" s="126"/>
      <c r="CK50" s="9"/>
      <c r="CL50" s="9"/>
      <c r="CM50" s="127"/>
      <c r="CN50" s="9"/>
      <c r="CO50" s="9"/>
      <c r="CP50" s="9"/>
      <c r="CQ50" s="126"/>
      <c r="CR50" s="126"/>
      <c r="CS50" s="126"/>
      <c r="CT50" s="126"/>
      <c r="CU50" s="126"/>
      <c r="CV50" s="9"/>
      <c r="CW50" s="9"/>
      <c r="CX50" s="127"/>
      <c r="CY50" s="67"/>
      <c r="CZ50" s="67"/>
    </row>
    <row r="51" spans="1:104" x14ac:dyDescent="0.35">
      <c r="A51" s="143">
        <v>46</v>
      </c>
      <c r="B51" s="116" t="s">
        <v>499</v>
      </c>
      <c r="C51" s="144">
        <v>7679726.3321664715</v>
      </c>
      <c r="D51" s="144">
        <v>789807.77</v>
      </c>
      <c r="E51" s="144">
        <v>197421.05</v>
      </c>
      <c r="F51" s="145">
        <f t="shared" si="7"/>
        <v>987228.82000000007</v>
      </c>
      <c r="G51" s="144"/>
      <c r="H51" s="144"/>
      <c r="I51" s="145"/>
      <c r="J51" s="144">
        <v>177111.99</v>
      </c>
      <c r="K51" s="144">
        <v>45797.56</v>
      </c>
      <c r="L51" s="145">
        <f t="shared" si="8"/>
        <v>222909.55</v>
      </c>
      <c r="M51" s="146">
        <v>38704.19</v>
      </c>
      <c r="N51" s="146">
        <v>1475.85</v>
      </c>
      <c r="O51" s="145">
        <f t="shared" si="9"/>
        <v>40180.04</v>
      </c>
      <c r="P51" s="144">
        <v>240323.18</v>
      </c>
      <c r="Q51" s="144">
        <v>9163.5</v>
      </c>
      <c r="R51" s="147">
        <f t="shared" si="10"/>
        <v>249486.68</v>
      </c>
      <c r="S51" s="117">
        <v>0</v>
      </c>
      <c r="T51" s="117">
        <v>0</v>
      </c>
      <c r="U51" s="146">
        <v>0</v>
      </c>
      <c r="V51" s="146">
        <v>0</v>
      </c>
      <c r="W51" s="4"/>
      <c r="X51" s="4"/>
      <c r="Y51" s="4"/>
      <c r="Z51" s="4"/>
      <c r="AA51" s="4"/>
      <c r="AB51" s="4"/>
      <c r="AC51" s="4"/>
      <c r="AD51" s="4"/>
      <c r="AE51" s="4"/>
      <c r="AF51" s="118">
        <f t="shared" si="11"/>
        <v>222909.55</v>
      </c>
      <c r="AG51" s="112">
        <f t="shared" si="11"/>
        <v>38704.19</v>
      </c>
      <c r="AH51" s="112">
        <f t="shared" si="11"/>
        <v>1475.85</v>
      </c>
      <c r="AI51" s="10">
        <f t="shared" si="12"/>
        <v>22807.505928129998</v>
      </c>
      <c r="AJ51" s="10">
        <f t="shared" si="13"/>
        <v>9264.1618198300002</v>
      </c>
      <c r="AK51" s="10">
        <f t="shared" si="14"/>
        <v>74.855414520000011</v>
      </c>
      <c r="AL51" s="10">
        <f t="shared" si="15"/>
        <v>8033.516837520001</v>
      </c>
      <c r="AM51" s="10">
        <f t="shared" si="16"/>
        <v>0</v>
      </c>
      <c r="AN51" s="9">
        <f t="shared" si="17"/>
        <v>0</v>
      </c>
      <c r="AO51" s="10">
        <f t="shared" si="18"/>
        <v>0</v>
      </c>
      <c r="AP51" s="66">
        <f t="shared" si="19"/>
        <v>691789.21547367028</v>
      </c>
      <c r="AQ51" s="66">
        <f t="shared" si="20"/>
        <v>239253.71679976041</v>
      </c>
      <c r="AR51" s="66">
        <f t="shared" si="21"/>
        <v>2229.0718956499418</v>
      </c>
      <c r="AS51" s="66">
        <f t="shared" si="22"/>
        <v>55726.797391248547</v>
      </c>
      <c r="AT51" s="66"/>
      <c r="AU51" s="4"/>
      <c r="AV51" s="4"/>
      <c r="AW51" s="4"/>
      <c r="AX51" s="4"/>
      <c r="AY51" s="4"/>
      <c r="AZ51" s="4"/>
      <c r="BA51" s="4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9">
        <f t="shared" si="4"/>
        <v>1252088.3915603291</v>
      </c>
      <c r="BN51" s="9">
        <f t="shared" si="35"/>
        <v>961883.9550390807</v>
      </c>
      <c r="BO51" s="9">
        <f t="shared" si="23"/>
        <v>287900.50921107852</v>
      </c>
      <c r="BP51" s="9">
        <f t="shared" si="24"/>
        <v>2303.9273101699418</v>
      </c>
      <c r="BQ51" s="10">
        <f t="shared" si="25"/>
        <v>0</v>
      </c>
      <c r="BR51" s="9">
        <f t="shared" si="26"/>
        <v>1252088.3915603291</v>
      </c>
      <c r="BS51" s="142">
        <f t="shared" si="36"/>
        <v>931042.93227343075</v>
      </c>
      <c r="BT51" s="83">
        <f t="shared" si="27"/>
        <v>931043</v>
      </c>
      <c r="BU51" s="175">
        <f t="shared" si="28"/>
        <v>9.0909226810326909E-4</v>
      </c>
      <c r="BV51" s="173">
        <f t="shared" si="29"/>
        <v>222909.55</v>
      </c>
      <c r="BW51" s="176">
        <f t="shared" si="30"/>
        <v>1.2996355272909764E-3</v>
      </c>
      <c r="BX51" s="177">
        <f t="shared" si="31"/>
        <v>0</v>
      </c>
      <c r="BY51" s="178">
        <f t="shared" si="32"/>
        <v>0</v>
      </c>
      <c r="BZ51" s="4"/>
      <c r="CA51" s="4"/>
      <c r="CB51" s="4"/>
      <c r="CC51" s="4"/>
      <c r="CD51" s="4"/>
      <c r="CE51" s="4"/>
      <c r="CF51" s="4"/>
      <c r="CG51" s="126">
        <f t="shared" si="33"/>
        <v>699239.36477370001</v>
      </c>
      <c r="CH51" s="126">
        <f t="shared" si="34"/>
        <v>287989.45522629999</v>
      </c>
      <c r="CI51" s="126"/>
      <c r="CJ51" s="126"/>
      <c r="CK51" s="9"/>
      <c r="CL51" s="9"/>
      <c r="CM51" s="127"/>
      <c r="CN51" s="9"/>
      <c r="CO51" s="9"/>
      <c r="CP51" s="9"/>
      <c r="CQ51" s="126"/>
      <c r="CR51" s="126"/>
      <c r="CS51" s="126"/>
      <c r="CT51" s="126"/>
      <c r="CU51" s="126"/>
      <c r="CV51" s="9"/>
      <c r="CW51" s="9"/>
      <c r="CX51" s="127"/>
      <c r="CY51" s="67"/>
      <c r="CZ51" s="67"/>
    </row>
    <row r="52" spans="1:104" x14ac:dyDescent="0.35">
      <c r="A52" s="143">
        <v>47</v>
      </c>
      <c r="B52" s="116" t="s">
        <v>500</v>
      </c>
      <c r="C52" s="144">
        <v>64105897.005056396</v>
      </c>
      <c r="D52" s="144">
        <v>5876551.6100000003</v>
      </c>
      <c r="E52" s="144">
        <v>2364261.4500000002</v>
      </c>
      <c r="F52" s="145">
        <f t="shared" si="7"/>
        <v>8240813.0600000005</v>
      </c>
      <c r="G52" s="144"/>
      <c r="H52" s="144"/>
      <c r="I52" s="145"/>
      <c r="J52" s="144">
        <v>1311031.27</v>
      </c>
      <c r="K52" s="144">
        <v>499304.12</v>
      </c>
      <c r="L52" s="145">
        <f t="shared" si="8"/>
        <v>1810335.3900000001</v>
      </c>
      <c r="M52" s="146">
        <v>324217.73</v>
      </c>
      <c r="N52" s="146">
        <v>281565.33</v>
      </c>
      <c r="O52" s="145">
        <f t="shared" si="9"/>
        <v>605783.06000000006</v>
      </c>
      <c r="P52" s="144">
        <v>2013147.17</v>
      </c>
      <c r="Q52" s="144">
        <v>1748307.69</v>
      </c>
      <c r="R52" s="147">
        <f t="shared" si="10"/>
        <v>3761454.86</v>
      </c>
      <c r="S52" s="117">
        <v>0</v>
      </c>
      <c r="T52" s="117">
        <v>0</v>
      </c>
      <c r="U52" s="146">
        <v>0</v>
      </c>
      <c r="V52" s="146">
        <v>7238.28</v>
      </c>
      <c r="W52" s="4"/>
      <c r="X52" s="4"/>
      <c r="Y52" s="4"/>
      <c r="Z52" s="4"/>
      <c r="AA52" s="4"/>
      <c r="AB52" s="4"/>
      <c r="AC52" s="4"/>
      <c r="AD52" s="4"/>
      <c r="AE52" s="4"/>
      <c r="AF52" s="118">
        <f t="shared" si="11"/>
        <v>1810335.3900000001</v>
      </c>
      <c r="AG52" s="112">
        <f t="shared" si="11"/>
        <v>324217.73</v>
      </c>
      <c r="AH52" s="112">
        <f t="shared" si="11"/>
        <v>281565.33</v>
      </c>
      <c r="AI52" s="10">
        <f t="shared" si="12"/>
        <v>359963.90057280997</v>
      </c>
      <c r="AJ52" s="10">
        <f t="shared" si="13"/>
        <v>123571.53213613</v>
      </c>
      <c r="AK52" s="10">
        <f t="shared" si="14"/>
        <v>1128.57384078</v>
      </c>
      <c r="AL52" s="10">
        <f t="shared" si="15"/>
        <v>121119.05345028</v>
      </c>
      <c r="AM52" s="10">
        <f t="shared" si="16"/>
        <v>0</v>
      </c>
      <c r="AN52" s="9">
        <f t="shared" si="17"/>
        <v>0</v>
      </c>
      <c r="AO52" s="10">
        <f t="shared" si="18"/>
        <v>0</v>
      </c>
      <c r="AP52" s="66">
        <f t="shared" si="19"/>
        <v>5660796.0350164864</v>
      </c>
      <c r="AQ52" s="66">
        <f t="shared" si="20"/>
        <v>1943091.0370708159</v>
      </c>
      <c r="AR52" s="66">
        <f t="shared" si="21"/>
        <v>18103.332643516918</v>
      </c>
      <c r="AS52" s="66">
        <f t="shared" si="22"/>
        <v>452583.31608792295</v>
      </c>
      <c r="AT52" s="66"/>
      <c r="AU52" s="4"/>
      <c r="AV52" s="4"/>
      <c r="AW52" s="4"/>
      <c r="AX52" s="4"/>
      <c r="AY52" s="4"/>
      <c r="AZ52" s="4"/>
      <c r="BA52" s="4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9">
        <f t="shared" si="4"/>
        <v>10490692.170818744</v>
      </c>
      <c r="BN52" s="9">
        <f t="shared" si="35"/>
        <v>8084970.0261103921</v>
      </c>
      <c r="BO52" s="9">
        <f t="shared" si="23"/>
        <v>2386490.2382240528</v>
      </c>
      <c r="BP52" s="9">
        <f t="shared" si="24"/>
        <v>19231.906484296916</v>
      </c>
      <c r="BQ52" s="10">
        <f t="shared" si="25"/>
        <v>0</v>
      </c>
      <c r="BR52" s="9">
        <f t="shared" si="26"/>
        <v>10490692.170818741</v>
      </c>
      <c r="BS52" s="142">
        <f t="shared" si="36"/>
        <v>7603887.0720873028</v>
      </c>
      <c r="BT52" s="83">
        <f t="shared" si="27"/>
        <v>7603887</v>
      </c>
      <c r="BU52" s="175">
        <f t="shared" si="28"/>
        <v>7.4246145963276101E-3</v>
      </c>
      <c r="BV52" s="173">
        <f t="shared" si="29"/>
        <v>1810335.3900000001</v>
      </c>
      <c r="BW52" s="176">
        <f t="shared" si="30"/>
        <v>1.055484697338524E-2</v>
      </c>
      <c r="BX52" s="177">
        <f t="shared" si="31"/>
        <v>0</v>
      </c>
      <c r="BY52" s="178">
        <f t="shared" si="32"/>
        <v>0</v>
      </c>
      <c r="BZ52" s="4"/>
      <c r="CA52" s="4"/>
      <c r="CB52" s="4"/>
      <c r="CC52" s="4"/>
      <c r="CD52" s="4"/>
      <c r="CE52" s="4"/>
      <c r="CF52" s="4"/>
      <c r="CG52" s="126">
        <f t="shared" si="33"/>
        <v>5836844.2782021007</v>
      </c>
      <c r="CH52" s="126">
        <f t="shared" si="34"/>
        <v>2403968.7817979003</v>
      </c>
      <c r="CI52" s="126"/>
      <c r="CJ52" s="126"/>
      <c r="CK52" s="9"/>
      <c r="CL52" s="9"/>
      <c r="CM52" s="127"/>
      <c r="CN52" s="9"/>
      <c r="CO52" s="9"/>
      <c r="CP52" s="9"/>
      <c r="CQ52" s="126"/>
      <c r="CR52" s="126"/>
      <c r="CS52" s="126"/>
      <c r="CT52" s="126"/>
      <c r="CU52" s="126"/>
      <c r="CV52" s="9"/>
      <c r="CW52" s="9"/>
      <c r="CX52" s="127"/>
      <c r="CY52" s="67"/>
      <c r="CZ52" s="67"/>
    </row>
    <row r="53" spans="1:104" x14ac:dyDescent="0.35">
      <c r="A53" s="143">
        <v>48</v>
      </c>
      <c r="B53" s="116" t="s">
        <v>501</v>
      </c>
      <c r="C53" s="144">
        <v>17225975.651497472</v>
      </c>
      <c r="D53" s="144">
        <v>1781824.08</v>
      </c>
      <c r="E53" s="144">
        <v>432575.09</v>
      </c>
      <c r="F53" s="145">
        <f t="shared" si="7"/>
        <v>2214399.17</v>
      </c>
      <c r="G53" s="144"/>
      <c r="H53" s="144"/>
      <c r="I53" s="145"/>
      <c r="J53" s="144">
        <v>333757.46999999997</v>
      </c>
      <c r="K53" s="144">
        <v>82017.22</v>
      </c>
      <c r="L53" s="145">
        <f t="shared" si="8"/>
        <v>415774.68999999994</v>
      </c>
      <c r="M53" s="146">
        <v>440577.96</v>
      </c>
      <c r="N53" s="146">
        <v>101650.11</v>
      </c>
      <c r="O53" s="145">
        <f t="shared" si="9"/>
        <v>542228.07000000007</v>
      </c>
      <c r="P53" s="144">
        <v>2735658.71</v>
      </c>
      <c r="Q53" s="144">
        <v>631174.43999999994</v>
      </c>
      <c r="R53" s="147">
        <f t="shared" si="10"/>
        <v>3366833.15</v>
      </c>
      <c r="S53" s="117">
        <v>12169.44</v>
      </c>
      <c r="T53" s="117">
        <v>0</v>
      </c>
      <c r="U53" s="146">
        <v>0</v>
      </c>
      <c r="V53" s="146">
        <v>0</v>
      </c>
      <c r="W53" s="4"/>
      <c r="X53" s="4"/>
      <c r="Y53" s="4"/>
      <c r="Z53" s="4"/>
      <c r="AA53" s="4"/>
      <c r="AB53" s="4"/>
      <c r="AC53" s="4"/>
      <c r="AD53" s="4"/>
      <c r="AE53" s="4"/>
      <c r="AF53" s="118">
        <f t="shared" si="11"/>
        <v>415774.68999999994</v>
      </c>
      <c r="AG53" s="112">
        <f t="shared" si="11"/>
        <v>440577.96</v>
      </c>
      <c r="AH53" s="112">
        <f t="shared" si="11"/>
        <v>101650.11</v>
      </c>
      <c r="AI53" s="10">
        <f t="shared" si="12"/>
        <v>312861.48411086999</v>
      </c>
      <c r="AJ53" s="10">
        <f t="shared" si="13"/>
        <v>119944.41913506</v>
      </c>
      <c r="AK53" s="10">
        <f t="shared" si="14"/>
        <v>1010.1708944100001</v>
      </c>
      <c r="AL53" s="10">
        <f t="shared" si="15"/>
        <v>108411.99585966</v>
      </c>
      <c r="AM53" s="10">
        <f t="shared" si="16"/>
        <v>12169.44</v>
      </c>
      <c r="AN53" s="9">
        <f t="shared" si="17"/>
        <v>0</v>
      </c>
      <c r="AO53" s="10">
        <f t="shared" si="18"/>
        <v>0</v>
      </c>
      <c r="AP53" s="66">
        <f t="shared" si="19"/>
        <v>1289213.5179731695</v>
      </c>
      <c r="AQ53" s="66">
        <f t="shared" si="20"/>
        <v>446264.3885482187</v>
      </c>
      <c r="AR53" s="66">
        <f t="shared" si="21"/>
        <v>4157.7427504492416</v>
      </c>
      <c r="AS53" s="66">
        <f t="shared" si="22"/>
        <v>103943.56876123106</v>
      </c>
      <c r="AT53" s="66"/>
      <c r="AU53" s="4"/>
      <c r="AV53" s="4"/>
      <c r="AW53" s="4"/>
      <c r="AX53" s="4"/>
      <c r="AY53" s="4"/>
      <c r="AZ53" s="4"/>
      <c r="BA53" s="4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9">
        <f t="shared" si="4"/>
        <v>2813751.4180330681</v>
      </c>
      <c r="BN53" s="9">
        <f t="shared" si="35"/>
        <v>2168920.8264919184</v>
      </c>
      <c r="BO53" s="9">
        <f t="shared" si="23"/>
        <v>639662.67789629102</v>
      </c>
      <c r="BP53" s="9">
        <f t="shared" si="24"/>
        <v>5167.9136448592417</v>
      </c>
      <c r="BQ53" s="10">
        <f t="shared" si="25"/>
        <v>0</v>
      </c>
      <c r="BR53" s="9">
        <f t="shared" si="26"/>
        <v>2813751.4180330685</v>
      </c>
      <c r="BS53" s="142">
        <f t="shared" si="36"/>
        <v>1735477.9065213881</v>
      </c>
      <c r="BT53" s="83">
        <f t="shared" si="27"/>
        <v>1735478</v>
      </c>
      <c r="BU53" s="175">
        <f t="shared" si="28"/>
        <v>1.6945615412494177E-3</v>
      </c>
      <c r="BV53" s="173">
        <f t="shared" si="29"/>
        <v>415774.68999999994</v>
      </c>
      <c r="BW53" s="176">
        <f t="shared" si="30"/>
        <v>2.4241023252363669E-3</v>
      </c>
      <c r="BX53" s="177">
        <f t="shared" si="31"/>
        <v>0</v>
      </c>
      <c r="BY53" s="178">
        <f t="shared" si="32"/>
        <v>0</v>
      </c>
      <c r="BZ53" s="4"/>
      <c r="CA53" s="4"/>
      <c r="CB53" s="4"/>
      <c r="CC53" s="4"/>
      <c r="CD53" s="4"/>
      <c r="CE53" s="4"/>
      <c r="CF53" s="4"/>
      <c r="CG53" s="126">
        <f t="shared" si="33"/>
        <v>1568425.7161234503</v>
      </c>
      <c r="CH53" s="126">
        <f t="shared" si="34"/>
        <v>645973.45387655008</v>
      </c>
      <c r="CI53" s="126"/>
      <c r="CJ53" s="126"/>
      <c r="CK53" s="9"/>
      <c r="CL53" s="9"/>
      <c r="CM53" s="127"/>
      <c r="CN53" s="9"/>
      <c r="CO53" s="9"/>
      <c r="CP53" s="9"/>
      <c r="CQ53" s="126"/>
      <c r="CR53" s="126"/>
      <c r="CS53" s="126"/>
      <c r="CT53" s="126"/>
      <c r="CU53" s="126"/>
      <c r="CV53" s="9"/>
      <c r="CW53" s="9"/>
      <c r="CX53" s="127"/>
      <c r="CY53" s="67"/>
      <c r="CZ53" s="67"/>
    </row>
    <row r="54" spans="1:104" x14ac:dyDescent="0.35">
      <c r="A54" s="143">
        <v>49</v>
      </c>
      <c r="B54" s="116" t="s">
        <v>502</v>
      </c>
      <c r="C54" s="144">
        <v>12300371.761960328</v>
      </c>
      <c r="D54" s="144">
        <v>1265538.3899999999</v>
      </c>
      <c r="E54" s="144">
        <v>315674.40000000002</v>
      </c>
      <c r="F54" s="145">
        <f t="shared" si="7"/>
        <v>1581212.79</v>
      </c>
      <c r="G54" s="144"/>
      <c r="H54" s="144"/>
      <c r="I54" s="145"/>
      <c r="J54" s="144">
        <v>272060.03999999998</v>
      </c>
      <c r="K54" s="144">
        <v>62847.76</v>
      </c>
      <c r="L54" s="145">
        <f t="shared" si="8"/>
        <v>334907.8</v>
      </c>
      <c r="M54" s="146">
        <v>124992.99</v>
      </c>
      <c r="N54" s="146">
        <v>58099.35</v>
      </c>
      <c r="O54" s="145">
        <f t="shared" si="9"/>
        <v>183092.34</v>
      </c>
      <c r="P54" s="144">
        <v>776113.24</v>
      </c>
      <c r="Q54" s="144">
        <v>360753.09</v>
      </c>
      <c r="R54" s="147">
        <f t="shared" si="10"/>
        <v>1136866.33</v>
      </c>
      <c r="S54" s="117">
        <v>0</v>
      </c>
      <c r="T54" s="117">
        <v>0</v>
      </c>
      <c r="U54" s="146">
        <v>0</v>
      </c>
      <c r="V54" s="146">
        <v>0</v>
      </c>
      <c r="W54" s="4"/>
      <c r="X54" s="4"/>
      <c r="Y54" s="4"/>
      <c r="Z54" s="4"/>
      <c r="AA54" s="4"/>
      <c r="AB54" s="4"/>
      <c r="AC54" s="4"/>
      <c r="AD54" s="4"/>
      <c r="AE54" s="4"/>
      <c r="AF54" s="118">
        <f t="shared" si="11"/>
        <v>334907.8</v>
      </c>
      <c r="AG54" s="112">
        <f t="shared" si="11"/>
        <v>124992.99</v>
      </c>
      <c r="AH54" s="112">
        <f t="shared" si="11"/>
        <v>58099.35</v>
      </c>
      <c r="AI54" s="10">
        <f t="shared" si="12"/>
        <v>107119.18354323</v>
      </c>
      <c r="AJ54" s="10">
        <f t="shared" si="13"/>
        <v>39024.939152430001</v>
      </c>
      <c r="AK54" s="10">
        <f t="shared" si="14"/>
        <v>341.10102942000003</v>
      </c>
      <c r="AL54" s="10">
        <f t="shared" si="15"/>
        <v>36607.116274920001</v>
      </c>
      <c r="AM54" s="10">
        <f t="shared" si="16"/>
        <v>0</v>
      </c>
      <c r="AN54" s="9">
        <f t="shared" si="17"/>
        <v>0</v>
      </c>
      <c r="AO54" s="10">
        <f t="shared" si="18"/>
        <v>0</v>
      </c>
      <c r="AP54" s="66">
        <f t="shared" si="19"/>
        <v>1037386.1847710029</v>
      </c>
      <c r="AQ54" s="66">
        <f t="shared" si="20"/>
        <v>359464.87490912247</v>
      </c>
      <c r="AR54" s="66">
        <f t="shared" si="21"/>
        <v>3349.0516295880971</v>
      </c>
      <c r="AS54" s="66">
        <f t="shared" si="22"/>
        <v>83726.290739702439</v>
      </c>
      <c r="AT54" s="66"/>
      <c r="AU54" s="4"/>
      <c r="AV54" s="4"/>
      <c r="AW54" s="4"/>
      <c r="AX54" s="4"/>
      <c r="AY54" s="4"/>
      <c r="AZ54" s="4"/>
      <c r="BA54" s="4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9">
        <f t="shared" si="4"/>
        <v>2001926.5420494159</v>
      </c>
      <c r="BN54" s="9">
        <f t="shared" si="35"/>
        <v>1540577.3594982754</v>
      </c>
      <c r="BO54" s="9">
        <f t="shared" si="23"/>
        <v>457659.02989213238</v>
      </c>
      <c r="BP54" s="9">
        <f t="shared" si="24"/>
        <v>3690.1526590080971</v>
      </c>
      <c r="BQ54" s="10">
        <f t="shared" si="25"/>
        <v>0</v>
      </c>
      <c r="BR54" s="9">
        <f t="shared" si="26"/>
        <v>2001926.5420494159</v>
      </c>
      <c r="BS54" s="142">
        <f t="shared" si="36"/>
        <v>1396851.0596801252</v>
      </c>
      <c r="BT54" s="83">
        <f t="shared" si="27"/>
        <v>1396851</v>
      </c>
      <c r="BU54" s="175">
        <f t="shared" si="28"/>
        <v>1.3639183049768567E-3</v>
      </c>
      <c r="BV54" s="173">
        <f t="shared" si="29"/>
        <v>334907.8</v>
      </c>
      <c r="BW54" s="176">
        <f t="shared" si="30"/>
        <v>1.9526219278037252E-3</v>
      </c>
      <c r="BX54" s="177">
        <f t="shared" si="31"/>
        <v>0</v>
      </c>
      <c r="BY54" s="178">
        <f t="shared" si="32"/>
        <v>0</v>
      </c>
      <c r="BZ54" s="4"/>
      <c r="CA54" s="4"/>
      <c r="CB54" s="4"/>
      <c r="CC54" s="4"/>
      <c r="CD54" s="4"/>
      <c r="CE54" s="4"/>
      <c r="CF54" s="4"/>
      <c r="CG54" s="126">
        <f t="shared" si="33"/>
        <v>1119949.3009651501</v>
      </c>
      <c r="CH54" s="126">
        <f t="shared" si="34"/>
        <v>461263.48903484998</v>
      </c>
      <c r="CI54" s="126"/>
      <c r="CJ54" s="126"/>
      <c r="CK54" s="9"/>
      <c r="CL54" s="9"/>
      <c r="CM54" s="127"/>
      <c r="CN54" s="9"/>
      <c r="CO54" s="9"/>
      <c r="CP54" s="9"/>
      <c r="CQ54" s="126"/>
      <c r="CR54" s="126"/>
      <c r="CS54" s="126"/>
      <c r="CT54" s="126"/>
      <c r="CU54" s="126"/>
      <c r="CV54" s="9"/>
      <c r="CW54" s="9"/>
      <c r="CX54" s="127"/>
      <c r="CY54" s="67"/>
      <c r="CZ54" s="67"/>
    </row>
    <row r="55" spans="1:104" x14ac:dyDescent="0.35">
      <c r="A55" s="143">
        <v>50</v>
      </c>
      <c r="B55" s="116" t="s">
        <v>503</v>
      </c>
      <c r="C55" s="144">
        <v>11975148.191365229</v>
      </c>
      <c r="D55" s="144">
        <v>1300003.77</v>
      </c>
      <c r="E55" s="144">
        <v>239401.53</v>
      </c>
      <c r="F55" s="145">
        <f t="shared" si="7"/>
        <v>1539405.3</v>
      </c>
      <c r="G55" s="144"/>
      <c r="H55" s="144"/>
      <c r="I55" s="145"/>
      <c r="J55" s="144">
        <v>286366.03999999998</v>
      </c>
      <c r="K55" s="144">
        <v>39275.599999999999</v>
      </c>
      <c r="L55" s="145">
        <f t="shared" si="8"/>
        <v>325641.63999999996</v>
      </c>
      <c r="M55" s="146">
        <v>91363.68</v>
      </c>
      <c r="N55" s="146">
        <v>89083.09</v>
      </c>
      <c r="O55" s="145">
        <f t="shared" si="9"/>
        <v>180446.77</v>
      </c>
      <c r="P55" s="144">
        <v>567300.4</v>
      </c>
      <c r="Q55" s="144">
        <v>553140.05000000005</v>
      </c>
      <c r="R55" s="147">
        <f t="shared" si="10"/>
        <v>1120440.4500000002</v>
      </c>
      <c r="S55" s="117">
        <v>0</v>
      </c>
      <c r="T55" s="117">
        <v>0</v>
      </c>
      <c r="U55" s="146">
        <v>0</v>
      </c>
      <c r="V55" s="146">
        <v>0</v>
      </c>
      <c r="W55" s="4"/>
      <c r="X55" s="4"/>
      <c r="Y55" s="4"/>
      <c r="Z55" s="4"/>
      <c r="AA55" s="4"/>
      <c r="AB55" s="4"/>
      <c r="AC55" s="4"/>
      <c r="AD55" s="4"/>
      <c r="AE55" s="4"/>
      <c r="AF55" s="118">
        <f t="shared" si="11"/>
        <v>325641.63999999996</v>
      </c>
      <c r="AG55" s="112">
        <f t="shared" si="11"/>
        <v>91363.68</v>
      </c>
      <c r="AH55" s="112">
        <f t="shared" si="11"/>
        <v>89083.09</v>
      </c>
      <c r="AI55" s="10">
        <f t="shared" si="12"/>
        <v>107547.37862040999</v>
      </c>
      <c r="AJ55" s="10">
        <f t="shared" si="13"/>
        <v>36485.052746820002</v>
      </c>
      <c r="AK55" s="10">
        <f t="shared" si="14"/>
        <v>336.17233251000005</v>
      </c>
      <c r="AL55" s="10">
        <f t="shared" si="15"/>
        <v>36078.166300259996</v>
      </c>
      <c r="AM55" s="10">
        <f t="shared" si="16"/>
        <v>0</v>
      </c>
      <c r="AN55" s="9">
        <f t="shared" si="17"/>
        <v>0</v>
      </c>
      <c r="AO55" s="10">
        <f t="shared" si="18"/>
        <v>0</v>
      </c>
      <c r="AP55" s="66">
        <f t="shared" si="19"/>
        <v>1001412.9622217824</v>
      </c>
      <c r="AQ55" s="66">
        <f t="shared" si="20"/>
        <v>349521.58927196031</v>
      </c>
      <c r="AR55" s="66">
        <f t="shared" si="21"/>
        <v>3256.4123224095679</v>
      </c>
      <c r="AS55" s="66">
        <f t="shared" si="22"/>
        <v>81410.3080602392</v>
      </c>
      <c r="AT55" s="66"/>
      <c r="AU55" s="4"/>
      <c r="AV55" s="4"/>
      <c r="AW55" s="4"/>
      <c r="AX55" s="4"/>
      <c r="AY55" s="4"/>
      <c r="AZ55" s="4"/>
      <c r="BA55" s="4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9">
        <f t="shared" si="4"/>
        <v>1941689.6818763916</v>
      </c>
      <c r="BN55" s="9">
        <f t="shared" si="35"/>
        <v>1494560.0964144128</v>
      </c>
      <c r="BO55" s="9">
        <f t="shared" si="23"/>
        <v>443537.00080705911</v>
      </c>
      <c r="BP55" s="9">
        <f t="shared" si="24"/>
        <v>3592.584654919568</v>
      </c>
      <c r="BQ55" s="10">
        <f t="shared" si="25"/>
        <v>0</v>
      </c>
      <c r="BR55" s="9">
        <f t="shared" si="26"/>
        <v>1941689.6818763914</v>
      </c>
      <c r="BS55" s="142">
        <f t="shared" si="36"/>
        <v>1350934.5514937427</v>
      </c>
      <c r="BT55" s="83">
        <f t="shared" si="27"/>
        <v>1350935</v>
      </c>
      <c r="BU55" s="175">
        <f t="shared" si="28"/>
        <v>1.3190843439170655E-3</v>
      </c>
      <c r="BV55" s="173">
        <f t="shared" si="29"/>
        <v>325641.63999999996</v>
      </c>
      <c r="BW55" s="176">
        <f t="shared" si="30"/>
        <v>1.8985971866584373E-3</v>
      </c>
      <c r="BX55" s="177">
        <f t="shared" si="31"/>
        <v>0</v>
      </c>
      <c r="BY55" s="178">
        <f t="shared" si="32"/>
        <v>0</v>
      </c>
      <c r="BZ55" s="4"/>
      <c r="CA55" s="4"/>
      <c r="CB55" s="4"/>
      <c r="CC55" s="4"/>
      <c r="CD55" s="4"/>
      <c r="CE55" s="4"/>
      <c r="CF55" s="4"/>
      <c r="CG55" s="126">
        <f t="shared" si="33"/>
        <v>1090337.6829105001</v>
      </c>
      <c r="CH55" s="126">
        <f t="shared" si="34"/>
        <v>449067.61708950001</v>
      </c>
      <c r="CI55" s="126"/>
      <c r="CJ55" s="126"/>
      <c r="CK55" s="9"/>
      <c r="CL55" s="9"/>
      <c r="CM55" s="127"/>
      <c r="CN55" s="9"/>
      <c r="CO55" s="9"/>
      <c r="CP55" s="9"/>
      <c r="CQ55" s="126"/>
      <c r="CR55" s="126"/>
      <c r="CS55" s="126"/>
      <c r="CT55" s="126"/>
      <c r="CU55" s="126"/>
      <c r="CV55" s="9"/>
      <c r="CW55" s="9"/>
      <c r="CX55" s="127"/>
      <c r="CY55" s="67"/>
      <c r="CZ55" s="67"/>
    </row>
    <row r="56" spans="1:104" x14ac:dyDescent="0.35">
      <c r="A56" s="143">
        <v>51</v>
      </c>
      <c r="B56" s="116" t="s">
        <v>504</v>
      </c>
      <c r="C56" s="144">
        <v>30956584.98638662</v>
      </c>
      <c r="D56" s="144">
        <v>2735489.1</v>
      </c>
      <c r="E56" s="144">
        <v>1243979.8999999999</v>
      </c>
      <c r="F56" s="145">
        <f t="shared" si="7"/>
        <v>3979469</v>
      </c>
      <c r="G56" s="144"/>
      <c r="H56" s="144"/>
      <c r="I56" s="145"/>
      <c r="J56" s="144">
        <v>596575.11</v>
      </c>
      <c r="K56" s="144">
        <v>263642.90999999997</v>
      </c>
      <c r="L56" s="145">
        <f t="shared" si="8"/>
        <v>860218.02</v>
      </c>
      <c r="M56" s="146">
        <v>224466.21</v>
      </c>
      <c r="N56" s="146">
        <v>143165.60999999999</v>
      </c>
      <c r="O56" s="145">
        <f t="shared" si="9"/>
        <v>367631.81999999995</v>
      </c>
      <c r="P56" s="144">
        <v>1393766.98</v>
      </c>
      <c r="Q56" s="144">
        <v>888949.36</v>
      </c>
      <c r="R56" s="147">
        <f t="shared" si="10"/>
        <v>2282716.34</v>
      </c>
      <c r="S56" s="117">
        <v>0</v>
      </c>
      <c r="T56" s="117">
        <v>0</v>
      </c>
      <c r="U56" s="146">
        <v>0</v>
      </c>
      <c r="V56" s="146">
        <v>0</v>
      </c>
      <c r="W56" s="4"/>
      <c r="X56" s="4"/>
      <c r="Y56" s="4"/>
      <c r="Z56" s="4"/>
      <c r="AA56" s="4"/>
      <c r="AB56" s="4"/>
      <c r="AC56" s="4"/>
      <c r="AD56" s="4"/>
      <c r="AE56" s="4"/>
      <c r="AF56" s="118">
        <f t="shared" si="11"/>
        <v>860218.02</v>
      </c>
      <c r="AG56" s="112">
        <f t="shared" si="11"/>
        <v>224466.21</v>
      </c>
      <c r="AH56" s="112">
        <f t="shared" si="11"/>
        <v>143165.60999999999</v>
      </c>
      <c r="AI56" s="10">
        <f t="shared" si="12"/>
        <v>216730.96692236996</v>
      </c>
      <c r="AJ56" s="10">
        <f t="shared" si="13"/>
        <v>76712.384169809986</v>
      </c>
      <c r="AK56" s="10">
        <f t="shared" si="14"/>
        <v>684.89808066000001</v>
      </c>
      <c r="AL56" s="10">
        <f t="shared" si="15"/>
        <v>73503.570827160001</v>
      </c>
      <c r="AM56" s="10">
        <f t="shared" si="16"/>
        <v>0</v>
      </c>
      <c r="AN56" s="9">
        <f t="shared" si="17"/>
        <v>0</v>
      </c>
      <c r="AO56" s="10">
        <f t="shared" si="18"/>
        <v>0</v>
      </c>
      <c r="AP56" s="66">
        <f t="shared" si="19"/>
        <v>2698636.3672291534</v>
      </c>
      <c r="AQ56" s="66">
        <f t="shared" si="20"/>
        <v>923298.57041364908</v>
      </c>
      <c r="AR56" s="66">
        <f t="shared" si="21"/>
        <v>8602.1605939159854</v>
      </c>
      <c r="AS56" s="66">
        <f t="shared" si="22"/>
        <v>215054.01484789967</v>
      </c>
      <c r="AT56" s="66"/>
      <c r="AU56" s="4"/>
      <c r="AV56" s="4"/>
      <c r="AW56" s="4"/>
      <c r="AX56" s="4"/>
      <c r="AY56" s="4"/>
      <c r="AZ56" s="4"/>
      <c r="BA56" s="4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9">
        <f t="shared" si="4"/>
        <v>5073440.9530846179</v>
      </c>
      <c r="BN56" s="9">
        <f t="shared" si="35"/>
        <v>3912169.4753923323</v>
      </c>
      <c r="BO56" s="9">
        <f t="shared" si="23"/>
        <v>1151984.4190177098</v>
      </c>
      <c r="BP56" s="9">
        <f t="shared" si="24"/>
        <v>9287.0586745759847</v>
      </c>
      <c r="BQ56" s="10">
        <f t="shared" si="25"/>
        <v>0</v>
      </c>
      <c r="BR56" s="9">
        <f t="shared" si="26"/>
        <v>5073440.9530846179</v>
      </c>
      <c r="BS56" s="142">
        <f t="shared" si="36"/>
        <v>3621934.9376428025</v>
      </c>
      <c r="BT56" s="83">
        <f t="shared" si="27"/>
        <v>3621935</v>
      </c>
      <c r="BU56" s="175">
        <f t="shared" si="28"/>
        <v>3.536542659041601E-3</v>
      </c>
      <c r="BV56" s="173">
        <f t="shared" si="29"/>
        <v>860218.02</v>
      </c>
      <c r="BW56" s="176">
        <f t="shared" si="30"/>
        <v>5.015352191092305E-3</v>
      </c>
      <c r="BX56" s="177">
        <f t="shared" si="31"/>
        <v>0</v>
      </c>
      <c r="BY56" s="178">
        <f t="shared" si="32"/>
        <v>0</v>
      </c>
      <c r="BZ56" s="4"/>
      <c r="CA56" s="4"/>
      <c r="CB56" s="4"/>
      <c r="CC56" s="4"/>
      <c r="CD56" s="4"/>
      <c r="CE56" s="4"/>
      <c r="CF56" s="4"/>
      <c r="CG56" s="126">
        <f t="shared" si="33"/>
        <v>2818598.2006650004</v>
      </c>
      <c r="CH56" s="126">
        <f t="shared" si="34"/>
        <v>1160870.7993350001</v>
      </c>
      <c r="CI56" s="126"/>
      <c r="CJ56" s="126"/>
      <c r="CK56" s="9"/>
      <c r="CL56" s="9"/>
      <c r="CM56" s="127"/>
      <c r="CN56" s="9"/>
      <c r="CO56" s="9"/>
      <c r="CP56" s="9"/>
      <c r="CQ56" s="126"/>
      <c r="CR56" s="126"/>
      <c r="CS56" s="126"/>
      <c r="CT56" s="126"/>
      <c r="CU56" s="126"/>
      <c r="CV56" s="9"/>
      <c r="CW56" s="9"/>
      <c r="CX56" s="127"/>
      <c r="CY56" s="67"/>
      <c r="CZ56" s="67"/>
    </row>
    <row r="57" spans="1:104" x14ac:dyDescent="0.35">
      <c r="A57" s="143">
        <v>52</v>
      </c>
      <c r="B57" s="116" t="s">
        <v>505</v>
      </c>
      <c r="C57" s="144">
        <v>9348887.3590042777</v>
      </c>
      <c r="D57" s="144">
        <v>762160.91</v>
      </c>
      <c r="E57" s="144">
        <v>439638.56</v>
      </c>
      <c r="F57" s="145">
        <f t="shared" si="7"/>
        <v>1201799.47</v>
      </c>
      <c r="G57" s="144"/>
      <c r="H57" s="144"/>
      <c r="I57" s="145"/>
      <c r="J57" s="144">
        <v>164552.85</v>
      </c>
      <c r="K57" s="144">
        <v>96812.63</v>
      </c>
      <c r="L57" s="145">
        <f t="shared" si="8"/>
        <v>261365.48</v>
      </c>
      <c r="M57" s="146">
        <v>71477.19</v>
      </c>
      <c r="N57" s="146">
        <v>31063.08</v>
      </c>
      <c r="O57" s="145">
        <f t="shared" si="9"/>
        <v>102540.27</v>
      </c>
      <c r="P57" s="144">
        <v>443819.47</v>
      </c>
      <c r="Q57" s="144">
        <v>192877.61</v>
      </c>
      <c r="R57" s="147">
        <f t="shared" si="10"/>
        <v>636697.07999999996</v>
      </c>
      <c r="S57" s="117">
        <v>0</v>
      </c>
      <c r="T57" s="117">
        <v>0</v>
      </c>
      <c r="U57" s="146">
        <v>0</v>
      </c>
      <c r="V57" s="146">
        <v>0</v>
      </c>
      <c r="W57" s="4"/>
      <c r="X57" s="4"/>
      <c r="Y57" s="4"/>
      <c r="Z57" s="4"/>
      <c r="AA57" s="4"/>
      <c r="AB57" s="4"/>
      <c r="AC57" s="4"/>
      <c r="AD57" s="4"/>
      <c r="AE57" s="4"/>
      <c r="AF57" s="118">
        <f t="shared" si="11"/>
        <v>261365.48</v>
      </c>
      <c r="AG57" s="112">
        <f t="shared" si="11"/>
        <v>71477.19</v>
      </c>
      <c r="AH57" s="112">
        <f t="shared" si="11"/>
        <v>31063.08</v>
      </c>
      <c r="AI57" s="10">
        <f t="shared" si="12"/>
        <v>59900.146551480007</v>
      </c>
      <c r="AJ57" s="10">
        <f t="shared" si="13"/>
        <v>21947.394422250003</v>
      </c>
      <c r="AK57" s="10">
        <f t="shared" si="14"/>
        <v>191.03252301000001</v>
      </c>
      <c r="AL57" s="10">
        <f t="shared" si="15"/>
        <v>20501.696503260002</v>
      </c>
      <c r="AM57" s="10">
        <f t="shared" si="16"/>
        <v>0</v>
      </c>
      <c r="AN57" s="9">
        <f t="shared" si="17"/>
        <v>0</v>
      </c>
      <c r="AO57" s="10">
        <f t="shared" si="18"/>
        <v>0</v>
      </c>
      <c r="AP57" s="66">
        <f t="shared" si="19"/>
        <v>825515.95899392711</v>
      </c>
      <c r="AQ57" s="66">
        <f t="shared" si="20"/>
        <v>280532.52698393783</v>
      </c>
      <c r="AR57" s="66">
        <f t="shared" si="21"/>
        <v>2613.6570837012837</v>
      </c>
      <c r="AS57" s="66">
        <f t="shared" si="22"/>
        <v>65341.427092532089</v>
      </c>
      <c r="AT57" s="66"/>
      <c r="AU57" s="4"/>
      <c r="AV57" s="4"/>
      <c r="AW57" s="4"/>
      <c r="AX57" s="4"/>
      <c r="AY57" s="4"/>
      <c r="AZ57" s="4"/>
      <c r="BA57" s="4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9">
        <f t="shared" si="4"/>
        <v>1537909.3201540983</v>
      </c>
      <c r="BN57" s="9">
        <f t="shared" si="35"/>
        <v>1186450.329032605</v>
      </c>
      <c r="BO57" s="9">
        <f t="shared" si="23"/>
        <v>348654.30151478213</v>
      </c>
      <c r="BP57" s="9">
        <f t="shared" si="24"/>
        <v>2804.6896067112839</v>
      </c>
      <c r="BQ57" s="10">
        <f t="shared" si="25"/>
        <v>0</v>
      </c>
      <c r="BR57" s="9">
        <f t="shared" si="26"/>
        <v>1537909.3201540983</v>
      </c>
      <c r="BS57" s="142">
        <f t="shared" si="36"/>
        <v>1106048.4859778648</v>
      </c>
      <c r="BT57" s="83">
        <f t="shared" si="27"/>
        <v>1106048</v>
      </c>
      <c r="BU57" s="175">
        <f t="shared" si="28"/>
        <v>1.0799718164387574E-3</v>
      </c>
      <c r="BV57" s="173">
        <f t="shared" si="29"/>
        <v>261365.48</v>
      </c>
      <c r="BW57" s="176">
        <f t="shared" si="30"/>
        <v>1.5238461672703533E-3</v>
      </c>
      <c r="BX57" s="177">
        <f t="shared" si="31"/>
        <v>0</v>
      </c>
      <c r="BY57" s="178">
        <f t="shared" si="32"/>
        <v>0</v>
      </c>
      <c r="BZ57" s="4"/>
      <c r="CA57" s="4"/>
      <c r="CB57" s="4"/>
      <c r="CC57" s="4"/>
      <c r="CD57" s="4"/>
      <c r="CE57" s="4"/>
      <c r="CF57" s="4"/>
      <c r="CG57" s="126">
        <f t="shared" si="33"/>
        <v>851216.53760895017</v>
      </c>
      <c r="CH57" s="126">
        <f t="shared" si="34"/>
        <v>350582.93239105004</v>
      </c>
      <c r="CI57" s="126"/>
      <c r="CJ57" s="126"/>
      <c r="CK57" s="9"/>
      <c r="CL57" s="9"/>
      <c r="CM57" s="127"/>
      <c r="CN57" s="9"/>
      <c r="CO57" s="9"/>
      <c r="CP57" s="9"/>
      <c r="CQ57" s="126"/>
      <c r="CR57" s="126"/>
      <c r="CS57" s="126"/>
      <c r="CT57" s="126"/>
      <c r="CU57" s="126"/>
      <c r="CV57" s="9"/>
      <c r="CW57" s="9"/>
      <c r="CX57" s="127"/>
      <c r="CY57" s="67"/>
      <c r="CZ57" s="67"/>
    </row>
    <row r="58" spans="1:104" x14ac:dyDescent="0.35">
      <c r="A58" s="143">
        <v>53</v>
      </c>
      <c r="B58" s="116" t="s">
        <v>506</v>
      </c>
      <c r="C58" s="144">
        <v>3833109.6071567484</v>
      </c>
      <c r="D58" s="144">
        <v>369879.16</v>
      </c>
      <c r="E58" s="144">
        <v>122867.08</v>
      </c>
      <c r="F58" s="145">
        <f t="shared" si="7"/>
        <v>492746.23999999999</v>
      </c>
      <c r="G58" s="144"/>
      <c r="H58" s="144"/>
      <c r="I58" s="145"/>
      <c r="J58" s="144">
        <v>81193.67</v>
      </c>
      <c r="K58" s="144">
        <v>26841.25</v>
      </c>
      <c r="L58" s="145">
        <f t="shared" si="8"/>
        <v>108034.92</v>
      </c>
      <c r="M58" s="146">
        <v>27518.94</v>
      </c>
      <c r="N58" s="146">
        <v>9841.11</v>
      </c>
      <c r="O58" s="145">
        <f t="shared" si="9"/>
        <v>37360.050000000003</v>
      </c>
      <c r="P58" s="144">
        <v>170871.86</v>
      </c>
      <c r="Q58" s="144">
        <v>61106.13</v>
      </c>
      <c r="R58" s="147">
        <f t="shared" si="10"/>
        <v>231977.99</v>
      </c>
      <c r="S58" s="117">
        <v>8174.5</v>
      </c>
      <c r="T58" s="117">
        <v>0</v>
      </c>
      <c r="U58" s="146">
        <v>0</v>
      </c>
      <c r="V58" s="146">
        <v>0</v>
      </c>
      <c r="W58" s="4"/>
      <c r="X58" s="4"/>
      <c r="Y58" s="4"/>
      <c r="Z58" s="4"/>
      <c r="AA58" s="4"/>
      <c r="AB58" s="4"/>
      <c r="AC58" s="4"/>
      <c r="AD58" s="4"/>
      <c r="AE58" s="4"/>
      <c r="AF58" s="118">
        <f t="shared" si="11"/>
        <v>108034.92</v>
      </c>
      <c r="AG58" s="112">
        <f t="shared" si="11"/>
        <v>27518.94</v>
      </c>
      <c r="AH58" s="112">
        <f t="shared" si="11"/>
        <v>9841.11</v>
      </c>
      <c r="AI58" s="10">
        <f t="shared" si="12"/>
        <v>21732.643030829997</v>
      </c>
      <c r="AJ58" s="10">
        <f t="shared" si="13"/>
        <v>8088.1115191199997</v>
      </c>
      <c r="AK58" s="10">
        <f t="shared" si="14"/>
        <v>69.60177315</v>
      </c>
      <c r="AL58" s="10">
        <f t="shared" si="15"/>
        <v>7469.6936769000004</v>
      </c>
      <c r="AM58" s="10">
        <f t="shared" si="16"/>
        <v>8174.5</v>
      </c>
      <c r="AN58" s="9">
        <f t="shared" si="17"/>
        <v>0</v>
      </c>
      <c r="AO58" s="10">
        <f t="shared" si="18"/>
        <v>0</v>
      </c>
      <c r="AP58" s="66">
        <f t="shared" si="19"/>
        <v>336829.89387347165</v>
      </c>
      <c r="AQ58" s="66">
        <f t="shared" si="20"/>
        <v>115956.4380724473</v>
      </c>
      <c r="AR58" s="66">
        <f t="shared" si="21"/>
        <v>1080.3394851470243</v>
      </c>
      <c r="AS58" s="66">
        <f t="shared" si="22"/>
        <v>27008.48712867561</v>
      </c>
      <c r="AT58" s="66"/>
      <c r="AU58" s="4"/>
      <c r="AV58" s="4"/>
      <c r="AW58" s="4"/>
      <c r="AX58" s="4"/>
      <c r="AY58" s="4"/>
      <c r="AZ58" s="4"/>
      <c r="BA58" s="4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9">
        <f t="shared" si="4"/>
        <v>634444.62855974166</v>
      </c>
      <c r="BN58" s="9">
        <f t="shared" si="35"/>
        <v>490163.16865364899</v>
      </c>
      <c r="BO58" s="9">
        <f t="shared" si="23"/>
        <v>143131.5186477956</v>
      </c>
      <c r="BP58" s="9">
        <f t="shared" si="24"/>
        <v>1149.9412582970244</v>
      </c>
      <c r="BQ58" s="10">
        <f t="shared" si="25"/>
        <v>0</v>
      </c>
      <c r="BR58" s="9">
        <f t="shared" si="26"/>
        <v>634444.62855974166</v>
      </c>
      <c r="BS58" s="142">
        <f t="shared" si="36"/>
        <v>452786.33194591897</v>
      </c>
      <c r="BT58" s="83">
        <f t="shared" si="27"/>
        <v>452786</v>
      </c>
      <c r="BU58" s="175">
        <f t="shared" si="28"/>
        <v>4.4211124880113304E-4</v>
      </c>
      <c r="BV58" s="173">
        <f t="shared" si="29"/>
        <v>108034.92</v>
      </c>
      <c r="BW58" s="176">
        <f t="shared" si="30"/>
        <v>6.2987889132627315E-4</v>
      </c>
      <c r="BX58" s="177">
        <f t="shared" si="31"/>
        <v>0</v>
      </c>
      <c r="BY58" s="178">
        <f t="shared" si="32"/>
        <v>0</v>
      </c>
      <c r="BZ58" s="4"/>
      <c r="CA58" s="4"/>
      <c r="CB58" s="4"/>
      <c r="CC58" s="4"/>
      <c r="CD58" s="4"/>
      <c r="CE58" s="4"/>
      <c r="CF58" s="4"/>
      <c r="CG58" s="126">
        <f t="shared" si="33"/>
        <v>349004.77059840003</v>
      </c>
      <c r="CH58" s="126">
        <f t="shared" si="34"/>
        <v>143741.46940159998</v>
      </c>
      <c r="CI58" s="126"/>
      <c r="CJ58" s="126"/>
      <c r="CK58" s="9"/>
      <c r="CL58" s="9"/>
      <c r="CM58" s="127"/>
      <c r="CN58" s="9"/>
      <c r="CO58" s="9"/>
      <c r="CP58" s="9"/>
      <c r="CQ58" s="126"/>
      <c r="CR58" s="126"/>
      <c r="CS58" s="126"/>
      <c r="CT58" s="126"/>
      <c r="CU58" s="126"/>
      <c r="CV58" s="9"/>
      <c r="CW58" s="9"/>
      <c r="CX58" s="127"/>
      <c r="CY58" s="67"/>
      <c r="CZ58" s="67"/>
    </row>
    <row r="59" spans="1:104" x14ac:dyDescent="0.35">
      <c r="A59" s="143">
        <v>54</v>
      </c>
      <c r="B59" s="116" t="s">
        <v>507</v>
      </c>
      <c r="C59" s="144">
        <v>29845718.553092182</v>
      </c>
      <c r="D59" s="144">
        <v>2745365.62</v>
      </c>
      <c r="E59" s="144">
        <v>1091301.5</v>
      </c>
      <c r="F59" s="145">
        <f t="shared" si="7"/>
        <v>3836667.12</v>
      </c>
      <c r="G59" s="144"/>
      <c r="H59" s="144"/>
      <c r="I59" s="145"/>
      <c r="J59" s="144">
        <v>598042.15</v>
      </c>
      <c r="K59" s="144">
        <v>239824.54</v>
      </c>
      <c r="L59" s="145">
        <f t="shared" si="8"/>
        <v>837866.69000000006</v>
      </c>
      <c r="M59" s="146">
        <v>228996.08</v>
      </c>
      <c r="N59" s="146">
        <v>79738.11</v>
      </c>
      <c r="O59" s="145">
        <f t="shared" si="9"/>
        <v>308734.19</v>
      </c>
      <c r="P59" s="144">
        <v>1421892.66</v>
      </c>
      <c r="Q59" s="144">
        <v>495116.32</v>
      </c>
      <c r="R59" s="147">
        <f t="shared" si="10"/>
        <v>1917008.98</v>
      </c>
      <c r="S59" s="117">
        <v>0</v>
      </c>
      <c r="T59" s="117">
        <v>0</v>
      </c>
      <c r="U59" s="146">
        <v>0</v>
      </c>
      <c r="V59" s="146">
        <v>0</v>
      </c>
      <c r="W59" s="4"/>
      <c r="X59" s="4"/>
      <c r="Y59" s="4"/>
      <c r="Z59" s="4"/>
      <c r="AA59" s="4"/>
      <c r="AB59" s="4"/>
      <c r="AC59" s="4"/>
      <c r="AD59" s="4"/>
      <c r="AE59" s="4"/>
      <c r="AF59" s="118">
        <f t="shared" si="11"/>
        <v>837866.69000000006</v>
      </c>
      <c r="AG59" s="112">
        <f t="shared" si="11"/>
        <v>228996.08</v>
      </c>
      <c r="AH59" s="112">
        <f t="shared" si="11"/>
        <v>79738.11</v>
      </c>
      <c r="AI59" s="10">
        <f t="shared" si="12"/>
        <v>179494.67024911</v>
      </c>
      <c r="AJ59" s="10">
        <f t="shared" si="13"/>
        <v>66936.651474700004</v>
      </c>
      <c r="AK59" s="10">
        <f t="shared" si="14"/>
        <v>575.17179596999995</v>
      </c>
      <c r="AL59" s="10">
        <f t="shared" si="15"/>
        <v>61727.696480220002</v>
      </c>
      <c r="AM59" s="10">
        <f t="shared" si="16"/>
        <v>0</v>
      </c>
      <c r="AN59" s="9">
        <f t="shared" si="17"/>
        <v>0</v>
      </c>
      <c r="AO59" s="10">
        <f t="shared" si="18"/>
        <v>0</v>
      </c>
      <c r="AP59" s="66">
        <f t="shared" si="19"/>
        <v>2622850.9978446681</v>
      </c>
      <c r="AQ59" s="66">
        <f t="shared" si="20"/>
        <v>899304.44825356826</v>
      </c>
      <c r="AR59" s="66">
        <f t="shared" si="21"/>
        <v>8378.6128719276549</v>
      </c>
      <c r="AS59" s="66">
        <f t="shared" si="22"/>
        <v>209465.32179819135</v>
      </c>
      <c r="AT59" s="66"/>
      <c r="AU59" s="4"/>
      <c r="AV59" s="4"/>
      <c r="AW59" s="4"/>
      <c r="AX59" s="4"/>
      <c r="AY59" s="4"/>
      <c r="AZ59" s="4"/>
      <c r="BA59" s="4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9">
        <f t="shared" si="4"/>
        <v>4886600.2607683558</v>
      </c>
      <c r="BN59" s="9">
        <f t="shared" si="35"/>
        <v>3763377.8128275662</v>
      </c>
      <c r="BO59" s="9">
        <f t="shared" si="23"/>
        <v>1114268.6632728914</v>
      </c>
      <c r="BP59" s="9">
        <f t="shared" si="24"/>
        <v>8953.7846678976548</v>
      </c>
      <c r="BQ59" s="10">
        <f t="shared" si="25"/>
        <v>0</v>
      </c>
      <c r="BR59" s="9">
        <f t="shared" si="26"/>
        <v>4886600.2607683558</v>
      </c>
      <c r="BS59" s="142">
        <f t="shared" si="36"/>
        <v>3522155.4460982364</v>
      </c>
      <c r="BT59" s="83">
        <f t="shared" si="27"/>
        <v>3522155</v>
      </c>
      <c r="BU59" s="175">
        <f t="shared" si="28"/>
        <v>3.4391156112287286E-3</v>
      </c>
      <c r="BV59" s="173">
        <f t="shared" si="29"/>
        <v>837866.69000000006</v>
      </c>
      <c r="BW59" s="176">
        <f t="shared" si="30"/>
        <v>4.8850366323815878E-3</v>
      </c>
      <c r="BX59" s="177">
        <f t="shared" si="31"/>
        <v>0</v>
      </c>
      <c r="BY59" s="178">
        <f t="shared" si="32"/>
        <v>0</v>
      </c>
      <c r="BZ59" s="4"/>
      <c r="CA59" s="4"/>
      <c r="CB59" s="4"/>
      <c r="CC59" s="4"/>
      <c r="CD59" s="4"/>
      <c r="CE59" s="4"/>
      <c r="CF59" s="4"/>
      <c r="CG59" s="126">
        <f t="shared" si="33"/>
        <v>2717453.7710891999</v>
      </c>
      <c r="CH59" s="126">
        <f t="shared" si="34"/>
        <v>1119213.3489107999</v>
      </c>
      <c r="CI59" s="126"/>
      <c r="CJ59" s="126"/>
      <c r="CK59" s="9"/>
      <c r="CL59" s="9"/>
      <c r="CM59" s="127"/>
      <c r="CN59" s="9"/>
      <c r="CO59" s="9"/>
      <c r="CP59" s="9"/>
      <c r="CQ59" s="126"/>
      <c r="CR59" s="126"/>
      <c r="CS59" s="126"/>
      <c r="CT59" s="126"/>
      <c r="CU59" s="126"/>
      <c r="CV59" s="9"/>
      <c r="CW59" s="9"/>
      <c r="CX59" s="127"/>
      <c r="CY59" s="67"/>
      <c r="CZ59" s="67"/>
    </row>
    <row r="60" spans="1:104" x14ac:dyDescent="0.35">
      <c r="A60" s="143">
        <v>55</v>
      </c>
      <c r="B60" s="116" t="s">
        <v>508</v>
      </c>
      <c r="C60" s="144">
        <v>10530448.619214313</v>
      </c>
      <c r="D60" s="144">
        <v>1111527.1499999999</v>
      </c>
      <c r="E60" s="144">
        <v>242162.02</v>
      </c>
      <c r="F60" s="145">
        <f t="shared" si="7"/>
        <v>1353689.17</v>
      </c>
      <c r="G60" s="144"/>
      <c r="H60" s="144"/>
      <c r="I60" s="145"/>
      <c r="J60" s="144">
        <v>239068.01</v>
      </c>
      <c r="K60" s="144">
        <v>39755.29</v>
      </c>
      <c r="L60" s="145">
        <f t="shared" si="8"/>
        <v>278823.3</v>
      </c>
      <c r="M60" s="146">
        <v>109173.02</v>
      </c>
      <c r="N60" s="146">
        <v>89971.91</v>
      </c>
      <c r="O60" s="145">
        <f t="shared" si="9"/>
        <v>199144.93</v>
      </c>
      <c r="P60" s="144">
        <v>677883.3</v>
      </c>
      <c r="Q60" s="144">
        <v>558656.39</v>
      </c>
      <c r="R60" s="147">
        <f t="shared" si="10"/>
        <v>1236539.69</v>
      </c>
      <c r="S60" s="117">
        <v>0</v>
      </c>
      <c r="T60" s="117">
        <v>0</v>
      </c>
      <c r="U60" s="146">
        <v>0</v>
      </c>
      <c r="V60" s="146">
        <v>0</v>
      </c>
      <c r="W60" s="4"/>
      <c r="X60" s="4"/>
      <c r="Y60" s="4"/>
      <c r="Z60" s="4"/>
      <c r="AA60" s="4"/>
      <c r="AB60" s="4"/>
      <c r="AC60" s="4"/>
      <c r="AD60" s="4"/>
      <c r="AE60" s="4"/>
      <c r="AF60" s="118">
        <f t="shared" si="11"/>
        <v>278823.3</v>
      </c>
      <c r="AG60" s="112">
        <f t="shared" si="11"/>
        <v>109173.02</v>
      </c>
      <c r="AH60" s="112">
        <f t="shared" si="11"/>
        <v>89971.91</v>
      </c>
      <c r="AI60" s="10">
        <f t="shared" si="12"/>
        <v>118173.61027299</v>
      </c>
      <c r="AJ60" s="10">
        <f t="shared" si="13"/>
        <v>40783.673708080001</v>
      </c>
      <c r="AK60" s="10">
        <f t="shared" si="14"/>
        <v>371.00700459000007</v>
      </c>
      <c r="AL60" s="10">
        <f t="shared" si="15"/>
        <v>39816.639014340006</v>
      </c>
      <c r="AM60" s="10">
        <f t="shared" si="16"/>
        <v>0</v>
      </c>
      <c r="AN60" s="9">
        <f t="shared" si="17"/>
        <v>0</v>
      </c>
      <c r="AO60" s="10">
        <f t="shared" si="18"/>
        <v>0</v>
      </c>
      <c r="AP60" s="66">
        <f t="shared" si="19"/>
        <v>859461.80754331406</v>
      </c>
      <c r="AQ60" s="66">
        <f t="shared" si="20"/>
        <v>299263.86752070085</v>
      </c>
      <c r="AR60" s="66">
        <f t="shared" si="21"/>
        <v>2788.1726787642938</v>
      </c>
      <c r="AS60" s="66">
        <f t="shared" si="22"/>
        <v>69704.316969107342</v>
      </c>
      <c r="AT60" s="66"/>
      <c r="AU60" s="4"/>
      <c r="AV60" s="4"/>
      <c r="AW60" s="4"/>
      <c r="AX60" s="4"/>
      <c r="AY60" s="4"/>
      <c r="AZ60" s="4"/>
      <c r="BA60" s="4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9">
        <f t="shared" si="4"/>
        <v>1709186.3947118865</v>
      </c>
      <c r="BN60" s="9">
        <f t="shared" si="35"/>
        <v>1316715.924351345</v>
      </c>
      <c r="BO60" s="9">
        <f t="shared" si="23"/>
        <v>389311.29067718738</v>
      </c>
      <c r="BP60" s="9">
        <f t="shared" si="24"/>
        <v>3159.179683354294</v>
      </c>
      <c r="BQ60" s="10">
        <f t="shared" si="25"/>
        <v>0</v>
      </c>
      <c r="BR60" s="9">
        <f t="shared" si="26"/>
        <v>1709186.3947118865</v>
      </c>
      <c r="BS60" s="142">
        <f t="shared" si="36"/>
        <v>1158725.675064015</v>
      </c>
      <c r="BT60" s="83">
        <f t="shared" si="27"/>
        <v>1158726</v>
      </c>
      <c r="BU60" s="175">
        <f t="shared" si="28"/>
        <v>1.1314070657099146E-3</v>
      </c>
      <c r="BV60" s="173">
        <f t="shared" si="29"/>
        <v>278823.3</v>
      </c>
      <c r="BW60" s="176">
        <f t="shared" si="30"/>
        <v>1.6256309633952879E-3</v>
      </c>
      <c r="BX60" s="177">
        <f t="shared" si="31"/>
        <v>0</v>
      </c>
      <c r="BY60" s="178">
        <f t="shared" si="32"/>
        <v>0</v>
      </c>
      <c r="BZ60" s="4"/>
      <c r="CA60" s="4"/>
      <c r="CB60" s="4"/>
      <c r="CC60" s="4"/>
      <c r="CD60" s="4"/>
      <c r="CE60" s="4"/>
      <c r="CF60" s="4"/>
      <c r="CG60" s="126">
        <f t="shared" si="33"/>
        <v>958797.73377345002</v>
      </c>
      <c r="CH60" s="126">
        <f t="shared" si="34"/>
        <v>394891.43622654997</v>
      </c>
      <c r="CI60" s="126"/>
      <c r="CJ60" s="126"/>
      <c r="CK60" s="9"/>
      <c r="CL60" s="9"/>
      <c r="CM60" s="127"/>
      <c r="CN60" s="9"/>
      <c r="CO60" s="9"/>
      <c r="CP60" s="9"/>
      <c r="CQ60" s="126"/>
      <c r="CR60" s="126"/>
      <c r="CS60" s="126"/>
      <c r="CT60" s="126"/>
      <c r="CU60" s="126"/>
      <c r="CV60" s="9"/>
      <c r="CW60" s="9"/>
      <c r="CX60" s="127"/>
      <c r="CY60" s="67"/>
      <c r="CZ60" s="67"/>
    </row>
    <row r="61" spans="1:104" x14ac:dyDescent="0.35">
      <c r="A61" s="143">
        <v>56</v>
      </c>
      <c r="B61" s="116" t="s">
        <v>509</v>
      </c>
      <c r="C61" s="144">
        <v>601038249.630494</v>
      </c>
      <c r="D61" s="144">
        <v>53829411</v>
      </c>
      <c r="E61" s="144">
        <v>23434055.989999998</v>
      </c>
      <c r="F61" s="145">
        <f t="shared" si="7"/>
        <v>77263466.989999995</v>
      </c>
      <c r="G61" s="144"/>
      <c r="H61" s="144"/>
      <c r="I61" s="145"/>
      <c r="J61" s="144">
        <v>11818303.859999999</v>
      </c>
      <c r="K61" s="144">
        <v>4935268.18</v>
      </c>
      <c r="L61" s="145">
        <f t="shared" si="8"/>
        <v>16753572.039999999</v>
      </c>
      <c r="M61" s="146">
        <v>3993535.21</v>
      </c>
      <c r="N61" s="146">
        <v>2866426.57</v>
      </c>
      <c r="O61" s="145">
        <f t="shared" si="9"/>
        <v>6859961.7799999993</v>
      </c>
      <c r="P61" s="144">
        <v>24796869.949999999</v>
      </c>
      <c r="Q61" s="144">
        <v>17798360.539999999</v>
      </c>
      <c r="R61" s="147">
        <f t="shared" si="10"/>
        <v>42595230.489999995</v>
      </c>
      <c r="S61" s="117">
        <v>17779.25</v>
      </c>
      <c r="T61" s="117">
        <v>0</v>
      </c>
      <c r="U61" s="146">
        <v>0</v>
      </c>
      <c r="V61" s="146">
        <v>39745.17</v>
      </c>
      <c r="W61" s="4"/>
      <c r="X61" s="4"/>
      <c r="Y61" s="4"/>
      <c r="Z61" s="4"/>
      <c r="AA61" s="4"/>
      <c r="AB61" s="4"/>
      <c r="AC61" s="4"/>
      <c r="AD61" s="4"/>
      <c r="AE61" s="4"/>
      <c r="AF61" s="118">
        <f t="shared" si="11"/>
        <v>16753572.039999999</v>
      </c>
      <c r="AG61" s="112">
        <f t="shared" si="11"/>
        <v>3993535.21</v>
      </c>
      <c r="AH61" s="112">
        <f t="shared" si="11"/>
        <v>2866426.57</v>
      </c>
      <c r="AI61" s="10">
        <f t="shared" si="12"/>
        <v>4056278.1372575699</v>
      </c>
      <c r="AJ61" s="10">
        <f t="shared" si="13"/>
        <v>1419336.4955766499</v>
      </c>
      <c r="AK61" s="10">
        <f t="shared" si="14"/>
        <v>12780.108796140001</v>
      </c>
      <c r="AL61" s="10">
        <f t="shared" si="15"/>
        <v>1371567.03836964</v>
      </c>
      <c r="AM61" s="10">
        <f t="shared" si="16"/>
        <v>17779.25</v>
      </c>
      <c r="AN61" s="9">
        <f t="shared" si="17"/>
        <v>0</v>
      </c>
      <c r="AO61" s="10">
        <f t="shared" si="18"/>
        <v>0</v>
      </c>
      <c r="AP61" s="66">
        <f t="shared" si="19"/>
        <v>52491205.912001647</v>
      </c>
      <c r="AQ61" s="66">
        <f t="shared" si="20"/>
        <v>17981865.216323905</v>
      </c>
      <c r="AR61" s="66">
        <f t="shared" si="21"/>
        <v>167532.90574214817</v>
      </c>
      <c r="AS61" s="66">
        <f t="shared" si="22"/>
        <v>4188322.643553705</v>
      </c>
      <c r="AT61" s="66"/>
      <c r="AU61" s="4"/>
      <c r="AV61" s="4"/>
      <c r="AW61" s="4"/>
      <c r="AX61" s="4"/>
      <c r="AY61" s="4"/>
      <c r="AZ61" s="4"/>
      <c r="BA61" s="4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9">
        <f t="shared" si="4"/>
        <v>98460239.747621417</v>
      </c>
      <c r="BN61" s="9">
        <f t="shared" si="35"/>
        <v>75918695.553952754</v>
      </c>
      <c r="BO61" s="9">
        <f t="shared" si="23"/>
        <v>22361231.179130353</v>
      </c>
      <c r="BP61" s="9">
        <f t="shared" si="24"/>
        <v>180313.01453828817</v>
      </c>
      <c r="BQ61" s="10">
        <f t="shared" si="25"/>
        <v>0</v>
      </c>
      <c r="BR61" s="9">
        <f t="shared" si="26"/>
        <v>98460239.747621387</v>
      </c>
      <c r="BS61" s="142">
        <f t="shared" si="36"/>
        <v>70473071.128325552</v>
      </c>
      <c r="BT61" s="83">
        <f t="shared" si="27"/>
        <v>70473071</v>
      </c>
      <c r="BU61" s="175">
        <f t="shared" si="28"/>
        <v>6.8811568029214454E-2</v>
      </c>
      <c r="BV61" s="173">
        <f t="shared" si="29"/>
        <v>16753572.039999999</v>
      </c>
      <c r="BW61" s="176">
        <f t="shared" si="30"/>
        <v>9.7678800357421922E-2</v>
      </c>
      <c r="BX61" s="177">
        <f t="shared" si="31"/>
        <v>0</v>
      </c>
      <c r="BY61" s="178">
        <f t="shared" si="32"/>
        <v>0</v>
      </c>
      <c r="BZ61" s="4"/>
      <c r="CA61" s="4"/>
      <c r="CB61" s="4"/>
      <c r="CC61" s="4"/>
      <c r="CD61" s="4"/>
      <c r="CE61" s="4"/>
      <c r="CF61" s="4"/>
      <c r="CG61" s="126">
        <f t="shared" si="33"/>
        <v>54724554.717012152</v>
      </c>
      <c r="CH61" s="126">
        <f t="shared" si="34"/>
        <v>22538912.27298785</v>
      </c>
      <c r="CI61" s="126"/>
      <c r="CJ61" s="126"/>
      <c r="CK61" s="9"/>
      <c r="CL61" s="9"/>
      <c r="CM61" s="127"/>
      <c r="CN61" s="9"/>
      <c r="CO61" s="9"/>
      <c r="CP61" s="9"/>
      <c r="CQ61" s="126"/>
      <c r="CR61" s="126"/>
      <c r="CS61" s="126"/>
      <c r="CT61" s="126"/>
      <c r="CU61" s="126"/>
      <c r="CV61" s="9"/>
      <c r="CW61" s="9"/>
      <c r="CX61" s="127"/>
      <c r="CY61" s="67"/>
      <c r="CZ61" s="67"/>
    </row>
    <row r="62" spans="1:104" x14ac:dyDescent="0.35">
      <c r="A62" s="143">
        <v>57</v>
      </c>
      <c r="B62" s="116" t="s">
        <v>510</v>
      </c>
      <c r="C62" s="144">
        <v>35303805.367561258</v>
      </c>
      <c r="D62" s="144">
        <v>2927312.68</v>
      </c>
      <c r="E62" s="144">
        <v>1610991.5</v>
      </c>
      <c r="F62" s="145">
        <f t="shared" si="7"/>
        <v>4538304.18</v>
      </c>
      <c r="G62" s="144"/>
      <c r="H62" s="144"/>
      <c r="I62" s="145"/>
      <c r="J62" s="144">
        <v>640927.68000000005</v>
      </c>
      <c r="K62" s="144">
        <v>341444.44</v>
      </c>
      <c r="L62" s="145">
        <f t="shared" si="8"/>
        <v>982372.12000000011</v>
      </c>
      <c r="M62" s="146">
        <v>226690.31</v>
      </c>
      <c r="N62" s="146">
        <v>185269.93</v>
      </c>
      <c r="O62" s="145">
        <f t="shared" si="9"/>
        <v>411960.24</v>
      </c>
      <c r="P62" s="144">
        <v>1407585.11</v>
      </c>
      <c r="Q62" s="144">
        <v>1150390.27</v>
      </c>
      <c r="R62" s="147">
        <f t="shared" si="10"/>
        <v>2557975.38</v>
      </c>
      <c r="S62" s="117">
        <v>0</v>
      </c>
      <c r="T62" s="117">
        <v>0</v>
      </c>
      <c r="U62" s="146">
        <v>0</v>
      </c>
      <c r="V62" s="146">
        <v>0</v>
      </c>
      <c r="W62" s="4"/>
      <c r="X62" s="4"/>
      <c r="Y62" s="4"/>
      <c r="Z62" s="4"/>
      <c r="AA62" s="4"/>
      <c r="AB62" s="4"/>
      <c r="AC62" s="4"/>
      <c r="AD62" s="4"/>
      <c r="AE62" s="4"/>
      <c r="AF62" s="118">
        <f t="shared" si="11"/>
        <v>982372.12000000011</v>
      </c>
      <c r="AG62" s="112">
        <f t="shared" si="11"/>
        <v>226690.31</v>
      </c>
      <c r="AH62" s="112">
        <f t="shared" si="11"/>
        <v>185269.93</v>
      </c>
      <c r="AI62" s="10">
        <f t="shared" si="12"/>
        <v>244406.51136796997</v>
      </c>
      <c r="AJ62" s="10">
        <f t="shared" si="13"/>
        <v>84419.74023979</v>
      </c>
      <c r="AK62" s="10">
        <f t="shared" si="14"/>
        <v>767.48192712000002</v>
      </c>
      <c r="AL62" s="10">
        <f t="shared" si="15"/>
        <v>82366.506465119994</v>
      </c>
      <c r="AM62" s="10">
        <f t="shared" si="16"/>
        <v>0</v>
      </c>
      <c r="AN62" s="9">
        <f t="shared" si="17"/>
        <v>0</v>
      </c>
      <c r="AO62" s="10">
        <f t="shared" si="18"/>
        <v>0</v>
      </c>
      <c r="AP62" s="66">
        <f t="shared" si="19"/>
        <v>3095324.1432606075</v>
      </c>
      <c r="AQ62" s="66">
        <f t="shared" si="20"/>
        <v>1054415.7255994726</v>
      </c>
      <c r="AR62" s="66">
        <f t="shared" si="21"/>
        <v>9823.7489962683776</v>
      </c>
      <c r="AS62" s="66">
        <f t="shared" si="22"/>
        <v>245593.72490670945</v>
      </c>
      <c r="AT62" s="66"/>
      <c r="AU62" s="4"/>
      <c r="AV62" s="4"/>
      <c r="AW62" s="4"/>
      <c r="AX62" s="4"/>
      <c r="AY62" s="4"/>
      <c r="AZ62" s="4"/>
      <c r="BA62" s="4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9">
        <f t="shared" si="4"/>
        <v>5799489.7027630573</v>
      </c>
      <c r="BN62" s="9">
        <f t="shared" si="35"/>
        <v>4476512.8866931703</v>
      </c>
      <c r="BO62" s="9">
        <f t="shared" si="23"/>
        <v>1312385.5851464996</v>
      </c>
      <c r="BP62" s="9">
        <f t="shared" si="24"/>
        <v>10591.230923388377</v>
      </c>
      <c r="BQ62" s="10">
        <f t="shared" si="25"/>
        <v>0</v>
      </c>
      <c r="BR62" s="9">
        <f t="shared" si="26"/>
        <v>5799489.7027630582</v>
      </c>
      <c r="BS62" s="142">
        <f t="shared" si="36"/>
        <v>4149739.8688600799</v>
      </c>
      <c r="BT62" s="83">
        <f t="shared" si="27"/>
        <v>4149740</v>
      </c>
      <c r="BU62" s="175">
        <f t="shared" si="28"/>
        <v>4.0519038367101395E-3</v>
      </c>
      <c r="BV62" s="173">
        <f t="shared" si="29"/>
        <v>982372.12000000011</v>
      </c>
      <c r="BW62" s="176">
        <f t="shared" si="30"/>
        <v>5.7275505162167999E-3</v>
      </c>
      <c r="BX62" s="177">
        <f t="shared" si="31"/>
        <v>0</v>
      </c>
      <c r="BY62" s="178">
        <f t="shared" si="32"/>
        <v>0</v>
      </c>
      <c r="BZ62" s="4"/>
      <c r="CA62" s="4"/>
      <c r="CB62" s="4"/>
      <c r="CC62" s="4"/>
      <c r="CD62" s="4"/>
      <c r="CE62" s="4"/>
      <c r="CF62" s="4"/>
      <c r="CG62" s="126">
        <f t="shared" si="33"/>
        <v>3214412.7761313003</v>
      </c>
      <c r="CH62" s="126">
        <f t="shared" si="34"/>
        <v>1323891.4038687001</v>
      </c>
      <c r="CI62" s="126"/>
      <c r="CJ62" s="126"/>
      <c r="CK62" s="9"/>
      <c r="CL62" s="9"/>
      <c r="CM62" s="127"/>
      <c r="CN62" s="9"/>
      <c r="CO62" s="9"/>
      <c r="CP62" s="9"/>
      <c r="CQ62" s="126"/>
      <c r="CR62" s="126"/>
      <c r="CS62" s="126"/>
      <c r="CT62" s="126"/>
      <c r="CU62" s="126"/>
      <c r="CV62" s="9"/>
      <c r="CW62" s="9"/>
      <c r="CX62" s="127"/>
      <c r="CY62" s="67"/>
      <c r="CZ62" s="67"/>
    </row>
    <row r="63" spans="1:104" x14ac:dyDescent="0.35">
      <c r="A63" s="143">
        <v>58</v>
      </c>
      <c r="B63" s="116" t="s">
        <v>511</v>
      </c>
      <c r="C63" s="144">
        <v>17212075.457020614</v>
      </c>
      <c r="D63" s="144">
        <v>1853351.66</v>
      </c>
      <c r="E63" s="144">
        <v>359260.64</v>
      </c>
      <c r="F63" s="145">
        <f t="shared" si="7"/>
        <v>2212612.2999999998</v>
      </c>
      <c r="G63" s="144"/>
      <c r="H63" s="144"/>
      <c r="I63" s="145"/>
      <c r="J63" s="144">
        <v>402145.28000000003</v>
      </c>
      <c r="K63" s="144">
        <v>64390.86</v>
      </c>
      <c r="L63" s="145">
        <f t="shared" si="8"/>
        <v>466536.14</v>
      </c>
      <c r="M63" s="146">
        <v>163082.18</v>
      </c>
      <c r="N63" s="146">
        <v>104400.15</v>
      </c>
      <c r="O63" s="145">
        <f t="shared" si="9"/>
        <v>267482.32999999996</v>
      </c>
      <c r="P63" s="144">
        <v>1012615.3</v>
      </c>
      <c r="Q63" s="144">
        <v>648239.34</v>
      </c>
      <c r="R63" s="147">
        <f t="shared" si="10"/>
        <v>1660854.6400000001</v>
      </c>
      <c r="S63" s="117">
        <v>0</v>
      </c>
      <c r="T63" s="117">
        <v>0</v>
      </c>
      <c r="U63" s="146">
        <v>0</v>
      </c>
      <c r="V63" s="146">
        <v>0</v>
      </c>
      <c r="W63" s="4"/>
      <c r="X63" s="4"/>
      <c r="Y63" s="4"/>
      <c r="Z63" s="4"/>
      <c r="AA63" s="4"/>
      <c r="AB63" s="4"/>
      <c r="AC63" s="4"/>
      <c r="AD63" s="4"/>
      <c r="AE63" s="4"/>
      <c r="AF63" s="118">
        <f t="shared" si="11"/>
        <v>466536.14</v>
      </c>
      <c r="AG63" s="112">
        <f t="shared" si="11"/>
        <v>163082.18</v>
      </c>
      <c r="AH63" s="112">
        <f t="shared" si="11"/>
        <v>104400.15</v>
      </c>
      <c r="AI63" s="10">
        <f t="shared" si="12"/>
        <v>157704.18874411</v>
      </c>
      <c r="AJ63" s="10">
        <f t="shared" si="13"/>
        <v>55799.939579559999</v>
      </c>
      <c r="AK63" s="10">
        <f t="shared" si="14"/>
        <v>498.31958079000003</v>
      </c>
      <c r="AL63" s="10">
        <f t="shared" si="15"/>
        <v>53479.882095540001</v>
      </c>
      <c r="AM63" s="10">
        <f t="shared" si="16"/>
        <v>0</v>
      </c>
      <c r="AN63" s="9">
        <f t="shared" si="17"/>
        <v>0</v>
      </c>
      <c r="AO63" s="10">
        <f t="shared" si="18"/>
        <v>0</v>
      </c>
      <c r="AP63" s="66">
        <f t="shared" si="19"/>
        <v>1437403.4140706293</v>
      </c>
      <c r="AQ63" s="66">
        <f t="shared" si="20"/>
        <v>500749.31030806375</v>
      </c>
      <c r="AR63" s="66">
        <f t="shared" si="21"/>
        <v>4665.3662451061837</v>
      </c>
      <c r="AS63" s="66">
        <f t="shared" si="22"/>
        <v>116634.1561276546</v>
      </c>
      <c r="AT63" s="66"/>
      <c r="AU63" s="4"/>
      <c r="AV63" s="4"/>
      <c r="AW63" s="4"/>
      <c r="AX63" s="4"/>
      <c r="AY63" s="4"/>
      <c r="AZ63" s="4"/>
      <c r="BA63" s="4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9">
        <f t="shared" si="4"/>
        <v>2793470.7167514539</v>
      </c>
      <c r="BN63" s="9">
        <f t="shared" si="35"/>
        <v>2149336.7952183429</v>
      </c>
      <c r="BO63" s="9">
        <f t="shared" si="23"/>
        <v>638970.23570721457</v>
      </c>
      <c r="BP63" s="9">
        <f t="shared" si="24"/>
        <v>5163.6858258961838</v>
      </c>
      <c r="BQ63" s="10">
        <f t="shared" si="25"/>
        <v>0</v>
      </c>
      <c r="BR63" s="9">
        <f t="shared" si="26"/>
        <v>2793470.7167514535</v>
      </c>
      <c r="BS63" s="142">
        <f t="shared" si="36"/>
        <v>1938152.7243786929</v>
      </c>
      <c r="BT63" s="83">
        <f t="shared" si="27"/>
        <v>1938153</v>
      </c>
      <c r="BU63" s="175">
        <f t="shared" si="28"/>
        <v>1.8924580113975882E-3</v>
      </c>
      <c r="BV63" s="173">
        <f t="shared" si="29"/>
        <v>466536.14</v>
      </c>
      <c r="BW63" s="176">
        <f t="shared" si="30"/>
        <v>2.7200581684777383E-3</v>
      </c>
      <c r="BX63" s="177">
        <f t="shared" si="31"/>
        <v>0</v>
      </c>
      <c r="BY63" s="178">
        <f t="shared" si="32"/>
        <v>0</v>
      </c>
      <c r="BZ63" s="4"/>
      <c r="CA63" s="4"/>
      <c r="CB63" s="4"/>
      <c r="CC63" s="4"/>
      <c r="CD63" s="4"/>
      <c r="CE63" s="4"/>
      <c r="CF63" s="4"/>
      <c r="CG63" s="126">
        <f t="shared" si="33"/>
        <v>1567160.1029055</v>
      </c>
      <c r="CH63" s="126">
        <f t="shared" si="34"/>
        <v>645452.19709449995</v>
      </c>
      <c r="CI63" s="126"/>
      <c r="CJ63" s="126"/>
      <c r="CK63" s="9"/>
      <c r="CL63" s="9"/>
      <c r="CM63" s="127"/>
      <c r="CN63" s="9"/>
      <c r="CO63" s="9"/>
      <c r="CP63" s="9"/>
      <c r="CQ63" s="126"/>
      <c r="CR63" s="126"/>
      <c r="CS63" s="126"/>
      <c r="CT63" s="126"/>
      <c r="CU63" s="126"/>
      <c r="CV63" s="9"/>
      <c r="CW63" s="9"/>
      <c r="CX63" s="127"/>
      <c r="CY63" s="67"/>
      <c r="CZ63" s="67"/>
    </row>
    <row r="64" spans="1:104" x14ac:dyDescent="0.35">
      <c r="A64" s="143">
        <v>59</v>
      </c>
      <c r="B64" s="116" t="s">
        <v>512</v>
      </c>
      <c r="C64" s="144">
        <v>61544119.797744066</v>
      </c>
      <c r="D64" s="144">
        <v>5570546.3700000001</v>
      </c>
      <c r="E64" s="144">
        <v>2340950.23</v>
      </c>
      <c r="F64" s="145">
        <f t="shared" si="7"/>
        <v>7911496.5999999996</v>
      </c>
      <c r="G64" s="144"/>
      <c r="H64" s="144"/>
      <c r="I64" s="145"/>
      <c r="J64" s="144">
        <v>1236315.4099999999</v>
      </c>
      <c r="K64" s="144">
        <v>520206.04</v>
      </c>
      <c r="L64" s="145">
        <f t="shared" si="8"/>
        <v>1756521.45</v>
      </c>
      <c r="M64" s="146">
        <v>341898.32</v>
      </c>
      <c r="N64" s="146">
        <v>140147.24</v>
      </c>
      <c r="O64" s="145">
        <f t="shared" si="9"/>
        <v>482045.56</v>
      </c>
      <c r="P64" s="144">
        <v>2122930.79</v>
      </c>
      <c r="Q64" s="144">
        <v>870205.51</v>
      </c>
      <c r="R64" s="147">
        <f t="shared" si="10"/>
        <v>2993136.3</v>
      </c>
      <c r="S64" s="117">
        <v>14750.03</v>
      </c>
      <c r="T64" s="117">
        <v>0</v>
      </c>
      <c r="U64" s="146">
        <v>0</v>
      </c>
      <c r="V64" s="146">
        <v>0</v>
      </c>
      <c r="W64" s="4"/>
      <c r="X64" s="4"/>
      <c r="Y64" s="4"/>
      <c r="Z64" s="4"/>
      <c r="AA64" s="4"/>
      <c r="AB64" s="4"/>
      <c r="AC64" s="4"/>
      <c r="AD64" s="4"/>
      <c r="AE64" s="4"/>
      <c r="AF64" s="118">
        <f t="shared" si="11"/>
        <v>1756521.45</v>
      </c>
      <c r="AG64" s="112">
        <f t="shared" si="11"/>
        <v>341898.32</v>
      </c>
      <c r="AH64" s="112">
        <f t="shared" si="11"/>
        <v>140147.24</v>
      </c>
      <c r="AI64" s="10">
        <f t="shared" si="12"/>
        <v>281227.58401043998</v>
      </c>
      <c r="AJ64" s="10">
        <f t="shared" si="13"/>
        <v>103540.69993599999</v>
      </c>
      <c r="AK64" s="10">
        <f t="shared" si="14"/>
        <v>898.05087828000001</v>
      </c>
      <c r="AL64" s="10">
        <f t="shared" si="15"/>
        <v>96379.225175280008</v>
      </c>
      <c r="AM64" s="10">
        <f t="shared" si="16"/>
        <v>14750.03</v>
      </c>
      <c r="AN64" s="9">
        <f t="shared" si="17"/>
        <v>0</v>
      </c>
      <c r="AO64" s="10">
        <f t="shared" si="18"/>
        <v>0</v>
      </c>
      <c r="AP64" s="66">
        <f t="shared" si="19"/>
        <v>5504469.2498569563</v>
      </c>
      <c r="AQ64" s="66">
        <f t="shared" si="20"/>
        <v>1885341.668627359</v>
      </c>
      <c r="AR64" s="66">
        <f t="shared" si="21"/>
        <v>17565.29504932322</v>
      </c>
      <c r="AS64" s="66">
        <f t="shared" si="22"/>
        <v>439132.37623308052</v>
      </c>
      <c r="AT64" s="66"/>
      <c r="AU64" s="4"/>
      <c r="AV64" s="4"/>
      <c r="AW64" s="4"/>
      <c r="AX64" s="4"/>
      <c r="AY64" s="4"/>
      <c r="AZ64" s="4"/>
      <c r="BA64" s="4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9">
        <f t="shared" si="4"/>
        <v>10099825.629766718</v>
      </c>
      <c r="BN64" s="9">
        <f t="shared" si="35"/>
        <v>7782167.7576700356</v>
      </c>
      <c r="BO64" s="9">
        <f t="shared" si="23"/>
        <v>2299194.5261690803</v>
      </c>
      <c r="BP64" s="9">
        <f t="shared" si="24"/>
        <v>18463.345927603219</v>
      </c>
      <c r="BQ64" s="10">
        <f t="shared" si="25"/>
        <v>0</v>
      </c>
      <c r="BR64" s="9">
        <f t="shared" si="26"/>
        <v>10099825.629766719</v>
      </c>
      <c r="BS64" s="142">
        <f t="shared" si="36"/>
        <v>7389810.9184843153</v>
      </c>
      <c r="BT64" s="83">
        <f t="shared" si="27"/>
        <v>7389811</v>
      </c>
      <c r="BU64" s="175">
        <f t="shared" si="28"/>
        <v>7.2155855931746076E-3</v>
      </c>
      <c r="BV64" s="173">
        <f t="shared" si="29"/>
        <v>1756521.45</v>
      </c>
      <c r="BW64" s="176">
        <f t="shared" si="30"/>
        <v>1.0241094115836045E-2</v>
      </c>
      <c r="BX64" s="177">
        <f t="shared" si="31"/>
        <v>0</v>
      </c>
      <c r="BY64" s="178">
        <f t="shared" si="32"/>
        <v>0</v>
      </c>
      <c r="BZ64" s="4"/>
      <c r="CA64" s="4"/>
      <c r="CB64" s="4"/>
      <c r="CC64" s="4"/>
      <c r="CD64" s="4"/>
      <c r="CE64" s="4"/>
      <c r="CF64" s="4"/>
      <c r="CG64" s="126">
        <f t="shared" si="33"/>
        <v>5603594.3693310004</v>
      </c>
      <c r="CH64" s="126">
        <f t="shared" si="34"/>
        <v>2307902.2306690002</v>
      </c>
      <c r="CI64" s="126"/>
      <c r="CJ64" s="126"/>
      <c r="CK64" s="9"/>
      <c r="CL64" s="9"/>
      <c r="CM64" s="127"/>
      <c r="CN64" s="9"/>
      <c r="CO64" s="9"/>
      <c r="CP64" s="9"/>
      <c r="CQ64" s="126"/>
      <c r="CR64" s="126"/>
      <c r="CS64" s="126"/>
      <c r="CT64" s="126"/>
      <c r="CU64" s="126"/>
      <c r="CV64" s="9"/>
      <c r="CW64" s="9"/>
      <c r="CX64" s="127"/>
      <c r="CY64" s="67"/>
      <c r="CZ64" s="67"/>
    </row>
    <row r="65" spans="1:104" x14ac:dyDescent="0.35">
      <c r="A65" s="143">
        <v>60</v>
      </c>
      <c r="B65" s="116" t="s">
        <v>513</v>
      </c>
      <c r="C65" s="144">
        <v>11056724.776351614</v>
      </c>
      <c r="D65" s="144">
        <v>1156920.22</v>
      </c>
      <c r="E65" s="144">
        <v>264421.75</v>
      </c>
      <c r="F65" s="145">
        <f t="shared" si="7"/>
        <v>1421341.97</v>
      </c>
      <c r="G65" s="144"/>
      <c r="H65" s="144"/>
      <c r="I65" s="145"/>
      <c r="J65" s="144">
        <v>245795.07</v>
      </c>
      <c r="K65" s="144">
        <v>37721.1</v>
      </c>
      <c r="L65" s="145">
        <f t="shared" si="8"/>
        <v>283516.17</v>
      </c>
      <c r="M65" s="146">
        <v>129912.91</v>
      </c>
      <c r="N65" s="146">
        <v>128770.83</v>
      </c>
      <c r="O65" s="145">
        <f t="shared" si="9"/>
        <v>258683.74</v>
      </c>
      <c r="P65" s="144">
        <v>806660.1</v>
      </c>
      <c r="Q65" s="144">
        <v>799575.34</v>
      </c>
      <c r="R65" s="147">
        <f t="shared" si="10"/>
        <v>1606235.44</v>
      </c>
      <c r="S65" s="117">
        <v>0</v>
      </c>
      <c r="T65" s="117">
        <v>0</v>
      </c>
      <c r="U65" s="146">
        <v>0</v>
      </c>
      <c r="V65" s="146">
        <v>0</v>
      </c>
      <c r="W65" s="4"/>
      <c r="X65" s="4"/>
      <c r="Y65" s="4"/>
      <c r="Z65" s="4"/>
      <c r="AA65" s="4"/>
      <c r="AB65" s="4"/>
      <c r="AC65" s="4"/>
      <c r="AD65" s="4"/>
      <c r="AE65" s="4"/>
      <c r="AF65" s="118">
        <f t="shared" si="11"/>
        <v>283516.17</v>
      </c>
      <c r="AG65" s="112">
        <f t="shared" si="11"/>
        <v>129912.91</v>
      </c>
      <c r="AH65" s="112">
        <f t="shared" si="11"/>
        <v>128770.83</v>
      </c>
      <c r="AI65" s="10">
        <f t="shared" si="12"/>
        <v>154243.13692367001</v>
      </c>
      <c r="AJ65" s="10">
        <f t="shared" si="13"/>
        <v>52237.965660590002</v>
      </c>
      <c r="AK65" s="10">
        <f t="shared" si="14"/>
        <v>481.92780762000007</v>
      </c>
      <c r="AL65" s="10">
        <f t="shared" si="15"/>
        <v>51720.70960812</v>
      </c>
      <c r="AM65" s="10">
        <f t="shared" si="16"/>
        <v>0</v>
      </c>
      <c r="AN65" s="9">
        <f t="shared" si="17"/>
        <v>0</v>
      </c>
      <c r="AO65" s="10">
        <f t="shared" si="18"/>
        <v>0</v>
      </c>
      <c r="AP65" s="66">
        <f t="shared" si="19"/>
        <v>873040.86504665436</v>
      </c>
      <c r="AQ65" s="66">
        <f t="shared" si="20"/>
        <v>304305.75663052202</v>
      </c>
      <c r="AR65" s="66">
        <f t="shared" si="21"/>
        <v>2835.1468009054843</v>
      </c>
      <c r="AS65" s="66">
        <f t="shared" si="22"/>
        <v>70878.670022637118</v>
      </c>
      <c r="AT65" s="66"/>
      <c r="AU65" s="4"/>
      <c r="AV65" s="4"/>
      <c r="AW65" s="4"/>
      <c r="AX65" s="4"/>
      <c r="AY65" s="4"/>
      <c r="AZ65" s="4"/>
      <c r="BA65" s="4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9">
        <f t="shared" si="4"/>
        <v>1793260.3485007188</v>
      </c>
      <c r="BN65" s="9">
        <f t="shared" si="35"/>
        <v>1383310.4682089663</v>
      </c>
      <c r="BO65" s="9">
        <f t="shared" si="23"/>
        <v>406632.80568322708</v>
      </c>
      <c r="BP65" s="9">
        <f t="shared" si="24"/>
        <v>3317.0746085254841</v>
      </c>
      <c r="BQ65" s="10">
        <f t="shared" si="25"/>
        <v>0</v>
      </c>
      <c r="BR65" s="9">
        <f t="shared" si="26"/>
        <v>1793260.3485007188</v>
      </c>
      <c r="BS65" s="142">
        <f t="shared" si="36"/>
        <v>1177346.6216771763</v>
      </c>
      <c r="BT65" s="83">
        <f t="shared" si="27"/>
        <v>1177347</v>
      </c>
      <c r="BU65" s="175">
        <f t="shared" si="28"/>
        <v>1.149588996965709E-3</v>
      </c>
      <c r="BV65" s="173">
        <f t="shared" si="29"/>
        <v>283516.17</v>
      </c>
      <c r="BW65" s="176">
        <f t="shared" si="30"/>
        <v>1.6529919292083632E-3</v>
      </c>
      <c r="BX65" s="177">
        <f t="shared" si="31"/>
        <v>0</v>
      </c>
      <c r="BY65" s="178">
        <f t="shared" si="32"/>
        <v>0</v>
      </c>
      <c r="BZ65" s="4"/>
      <c r="CA65" s="4"/>
      <c r="CB65" s="4"/>
      <c r="CC65" s="4"/>
      <c r="CD65" s="4"/>
      <c r="CE65" s="4"/>
      <c r="CF65" s="4"/>
      <c r="CG65" s="126">
        <f t="shared" si="33"/>
        <v>1006715.19722145</v>
      </c>
      <c r="CH65" s="126">
        <f t="shared" si="34"/>
        <v>414626.77277855005</v>
      </c>
      <c r="CI65" s="126"/>
      <c r="CJ65" s="126"/>
      <c r="CK65" s="9"/>
      <c r="CL65" s="9"/>
      <c r="CM65" s="127"/>
      <c r="CN65" s="9"/>
      <c r="CO65" s="9"/>
      <c r="CP65" s="9"/>
      <c r="CQ65" s="126"/>
      <c r="CR65" s="126"/>
      <c r="CS65" s="126"/>
      <c r="CT65" s="126"/>
      <c r="CU65" s="126"/>
      <c r="CV65" s="9"/>
      <c r="CW65" s="9"/>
      <c r="CX65" s="127"/>
      <c r="CY65" s="67"/>
      <c r="CZ65" s="67"/>
    </row>
    <row r="66" spans="1:104" x14ac:dyDescent="0.35">
      <c r="A66" s="143">
        <v>61</v>
      </c>
      <c r="B66" s="116" t="s">
        <v>514</v>
      </c>
      <c r="C66" s="144">
        <v>21090530.143912874</v>
      </c>
      <c r="D66" s="144">
        <v>2040679.49</v>
      </c>
      <c r="E66" s="144">
        <v>670508.16</v>
      </c>
      <c r="F66" s="145">
        <f t="shared" si="7"/>
        <v>2711187.65</v>
      </c>
      <c r="G66" s="144"/>
      <c r="H66" s="144"/>
      <c r="I66" s="145"/>
      <c r="J66" s="144">
        <v>399816.81</v>
      </c>
      <c r="K66" s="144">
        <v>127639.97</v>
      </c>
      <c r="L66" s="145">
        <f t="shared" si="8"/>
        <v>527456.78</v>
      </c>
      <c r="M66" s="146">
        <v>410232.49</v>
      </c>
      <c r="N66" s="146">
        <v>154806.96</v>
      </c>
      <c r="O66" s="145">
        <f t="shared" si="9"/>
        <v>565039.44999999995</v>
      </c>
      <c r="P66" s="144">
        <v>2547233.7599999998</v>
      </c>
      <c r="Q66" s="144">
        <v>961238.26</v>
      </c>
      <c r="R66" s="147">
        <f t="shared" si="10"/>
        <v>3508472.0199999996</v>
      </c>
      <c r="S66" s="117">
        <v>0</v>
      </c>
      <c r="T66" s="117">
        <v>0</v>
      </c>
      <c r="U66" s="146">
        <v>0</v>
      </c>
      <c r="V66" s="146">
        <v>0</v>
      </c>
      <c r="W66" s="4"/>
      <c r="X66" s="4"/>
      <c r="Y66" s="4"/>
      <c r="Z66" s="4"/>
      <c r="AA66" s="4"/>
      <c r="AB66" s="4"/>
      <c r="AC66" s="4"/>
      <c r="AD66" s="4"/>
      <c r="AE66" s="4"/>
      <c r="AF66" s="118">
        <f t="shared" si="11"/>
        <v>527456.78</v>
      </c>
      <c r="AG66" s="112">
        <f t="shared" si="11"/>
        <v>410232.49</v>
      </c>
      <c r="AH66" s="112">
        <f t="shared" si="11"/>
        <v>154806.96</v>
      </c>
      <c r="AI66" s="10">
        <f t="shared" si="12"/>
        <v>329058.61170367996</v>
      </c>
      <c r="AJ66" s="10">
        <f t="shared" si="13"/>
        <v>121955.31224686999</v>
      </c>
      <c r="AK66" s="10">
        <f t="shared" si="14"/>
        <v>1052.6684953500001</v>
      </c>
      <c r="AL66" s="10">
        <f t="shared" si="15"/>
        <v>112972.85755409999</v>
      </c>
      <c r="AM66" s="10">
        <f t="shared" si="16"/>
        <v>0</v>
      </c>
      <c r="AN66" s="9">
        <f t="shared" si="17"/>
        <v>0</v>
      </c>
      <c r="AO66" s="10">
        <f t="shared" si="18"/>
        <v>0</v>
      </c>
      <c r="AP66" s="66">
        <f t="shared" si="19"/>
        <v>1643393.3374702486</v>
      </c>
      <c r="AQ66" s="66">
        <f t="shared" si="20"/>
        <v>566142.27158999455</v>
      </c>
      <c r="AR66" s="66">
        <f t="shared" si="21"/>
        <v>5274.6174371738616</v>
      </c>
      <c r="AS66" s="66">
        <f t="shared" si="22"/>
        <v>131865.43592934657</v>
      </c>
      <c r="AT66" s="66"/>
      <c r="AU66" s="4"/>
      <c r="AV66" s="4"/>
      <c r="AW66" s="4"/>
      <c r="AX66" s="4"/>
      <c r="AY66" s="4"/>
      <c r="AZ66" s="4"/>
      <c r="BA66" s="4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9">
        <f t="shared" si="4"/>
        <v>3439171.8924267637</v>
      </c>
      <c r="BN66" s="9">
        <f t="shared" si="35"/>
        <v>2651567.0783180231</v>
      </c>
      <c r="BO66" s="9">
        <f t="shared" si="23"/>
        <v>781277.52817621664</v>
      </c>
      <c r="BP66" s="9">
        <f t="shared" si="24"/>
        <v>6327.2859325238614</v>
      </c>
      <c r="BQ66" s="10">
        <f t="shared" si="25"/>
        <v>0</v>
      </c>
      <c r="BR66" s="9">
        <f t="shared" si="26"/>
        <v>3439171.8924267632</v>
      </c>
      <c r="BS66" s="142">
        <f t="shared" si="36"/>
        <v>2209535.6090602432</v>
      </c>
      <c r="BT66" s="83">
        <f t="shared" si="27"/>
        <v>2209536</v>
      </c>
      <c r="BU66" s="175">
        <f t="shared" si="28"/>
        <v>2.1574426577630726E-3</v>
      </c>
      <c r="BV66" s="173">
        <f t="shared" si="29"/>
        <v>527456.78</v>
      </c>
      <c r="BW66" s="176">
        <f t="shared" si="30"/>
        <v>3.0752454096224257E-3</v>
      </c>
      <c r="BX66" s="177">
        <f t="shared" si="31"/>
        <v>0</v>
      </c>
      <c r="BY66" s="178">
        <f t="shared" si="32"/>
        <v>0</v>
      </c>
      <c r="BZ66" s="4"/>
      <c r="CA66" s="4"/>
      <c r="CB66" s="4"/>
      <c r="CC66" s="4"/>
      <c r="CD66" s="4"/>
      <c r="CE66" s="4"/>
      <c r="CF66" s="4"/>
      <c r="CG66" s="126">
        <f t="shared" si="33"/>
        <v>1920293.5446802501</v>
      </c>
      <c r="CH66" s="126">
        <f t="shared" si="34"/>
        <v>790894.10531975003</v>
      </c>
      <c r="CI66" s="126"/>
      <c r="CJ66" s="126"/>
      <c r="CK66" s="9"/>
      <c r="CL66" s="9"/>
      <c r="CM66" s="127"/>
      <c r="CN66" s="9"/>
      <c r="CO66" s="9"/>
      <c r="CP66" s="9"/>
      <c r="CQ66" s="126"/>
      <c r="CR66" s="126"/>
      <c r="CS66" s="126"/>
      <c r="CT66" s="126"/>
      <c r="CU66" s="126"/>
      <c r="CV66" s="9"/>
      <c r="CW66" s="9"/>
      <c r="CX66" s="127"/>
      <c r="CY66" s="67"/>
      <c r="CZ66" s="67"/>
    </row>
    <row r="67" spans="1:104" x14ac:dyDescent="0.35">
      <c r="A67" s="143">
        <v>62</v>
      </c>
      <c r="B67" s="116" t="s">
        <v>515</v>
      </c>
      <c r="C67" s="144">
        <v>11146256.087125633</v>
      </c>
      <c r="D67" s="144">
        <v>1115773.73</v>
      </c>
      <c r="E67" s="144">
        <v>317077.49</v>
      </c>
      <c r="F67" s="145">
        <f t="shared" si="7"/>
        <v>1432851.22</v>
      </c>
      <c r="G67" s="144"/>
      <c r="H67" s="144"/>
      <c r="I67" s="145"/>
      <c r="J67" s="144">
        <v>243443.63</v>
      </c>
      <c r="K67" s="144">
        <v>67712.789999999994</v>
      </c>
      <c r="L67" s="145">
        <f t="shared" si="8"/>
        <v>311156.42</v>
      </c>
      <c r="M67" s="146">
        <v>90978.7</v>
      </c>
      <c r="N67" s="146">
        <v>33738.49</v>
      </c>
      <c r="O67" s="145">
        <f t="shared" si="9"/>
        <v>124717.19</v>
      </c>
      <c r="P67" s="144">
        <v>564907.48</v>
      </c>
      <c r="Q67" s="144">
        <v>209491.16</v>
      </c>
      <c r="R67" s="147">
        <f t="shared" si="10"/>
        <v>774398.64</v>
      </c>
      <c r="S67" s="117">
        <v>0</v>
      </c>
      <c r="T67" s="117">
        <v>0</v>
      </c>
      <c r="U67" s="146">
        <v>0</v>
      </c>
      <c r="V67" s="146">
        <v>0</v>
      </c>
      <c r="W67" s="4"/>
      <c r="X67" s="4"/>
      <c r="Y67" s="4"/>
      <c r="Z67" s="4"/>
      <c r="AA67" s="4"/>
      <c r="AB67" s="4"/>
      <c r="AC67" s="4"/>
      <c r="AD67" s="4"/>
      <c r="AE67" s="4"/>
      <c r="AF67" s="118">
        <f t="shared" si="11"/>
        <v>311156.42</v>
      </c>
      <c r="AG67" s="112">
        <f t="shared" si="11"/>
        <v>90978.7</v>
      </c>
      <c r="AH67" s="112">
        <f t="shared" si="11"/>
        <v>33738.49</v>
      </c>
      <c r="AI67" s="10">
        <f t="shared" si="12"/>
        <v>72604.036860449996</v>
      </c>
      <c r="AJ67" s="10">
        <f t="shared" si="13"/>
        <v>26945.099480359997</v>
      </c>
      <c r="AK67" s="10">
        <f t="shared" si="14"/>
        <v>232.34812497000001</v>
      </c>
      <c r="AL67" s="10">
        <f t="shared" si="15"/>
        <v>24935.705534219996</v>
      </c>
      <c r="AM67" s="10">
        <f t="shared" si="16"/>
        <v>0</v>
      </c>
      <c r="AN67" s="9">
        <f t="shared" si="17"/>
        <v>0</v>
      </c>
      <c r="AO67" s="10">
        <f t="shared" si="18"/>
        <v>0</v>
      </c>
      <c r="AP67" s="66">
        <f t="shared" si="19"/>
        <v>966928.40246526175</v>
      </c>
      <c r="AQ67" s="66">
        <f t="shared" si="20"/>
        <v>333973.80979744531</v>
      </c>
      <c r="AR67" s="66">
        <f t="shared" si="21"/>
        <v>3111.5572341376892</v>
      </c>
      <c r="AS67" s="66">
        <f t="shared" si="22"/>
        <v>77788.930853442231</v>
      </c>
      <c r="AT67" s="66"/>
      <c r="AU67" s="4"/>
      <c r="AV67" s="4"/>
      <c r="AW67" s="4"/>
      <c r="AX67" s="4"/>
      <c r="AY67" s="4"/>
      <c r="AZ67" s="4"/>
      <c r="BA67" s="4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9">
        <f t="shared" si="4"/>
        <v>1817676.310350287</v>
      </c>
      <c r="BN67" s="9">
        <f t="shared" si="35"/>
        <v>1398441.954657377</v>
      </c>
      <c r="BO67" s="9">
        <f t="shared" si="23"/>
        <v>415890.4503338022</v>
      </c>
      <c r="BP67" s="9">
        <f t="shared" si="24"/>
        <v>3343.905359107689</v>
      </c>
      <c r="BQ67" s="10">
        <f t="shared" si="25"/>
        <v>0</v>
      </c>
      <c r="BR67" s="9">
        <f t="shared" si="26"/>
        <v>1817676.310350287</v>
      </c>
      <c r="BS67" s="142">
        <f t="shared" si="36"/>
        <v>1300902.2122627071</v>
      </c>
      <c r="BT67" s="83">
        <f t="shared" si="27"/>
        <v>1300902</v>
      </c>
      <c r="BU67" s="175">
        <f t="shared" si="28"/>
        <v>1.2702315883959092E-3</v>
      </c>
      <c r="BV67" s="173">
        <f t="shared" si="29"/>
        <v>311156.42</v>
      </c>
      <c r="BW67" s="176">
        <f t="shared" si="30"/>
        <v>1.8141436200318584E-3</v>
      </c>
      <c r="BX67" s="177">
        <f t="shared" si="31"/>
        <v>0</v>
      </c>
      <c r="BY67" s="178">
        <f t="shared" si="32"/>
        <v>0</v>
      </c>
      <c r="BZ67" s="4"/>
      <c r="CA67" s="4"/>
      <c r="CB67" s="4"/>
      <c r="CC67" s="4"/>
      <c r="CD67" s="4"/>
      <c r="CE67" s="4"/>
      <c r="CF67" s="4"/>
      <c r="CG67" s="126">
        <f t="shared" si="33"/>
        <v>1014867.0263577001</v>
      </c>
      <c r="CH67" s="126">
        <f t="shared" si="34"/>
        <v>417984.19364229997</v>
      </c>
      <c r="CI67" s="126"/>
      <c r="CJ67" s="126"/>
      <c r="CK67" s="9"/>
      <c r="CL67" s="9"/>
      <c r="CM67" s="127"/>
      <c r="CN67" s="9"/>
      <c r="CO67" s="9"/>
      <c r="CP67" s="9"/>
      <c r="CQ67" s="126"/>
      <c r="CR67" s="126"/>
      <c r="CS67" s="126"/>
      <c r="CT67" s="126"/>
      <c r="CU67" s="126"/>
      <c r="CV67" s="9"/>
      <c r="CW67" s="9"/>
      <c r="CX67" s="127"/>
      <c r="CY67" s="67"/>
      <c r="CZ67" s="67"/>
    </row>
    <row r="68" spans="1:104" x14ac:dyDescent="0.35">
      <c r="A68" s="143">
        <v>63</v>
      </c>
      <c r="B68" s="116" t="s">
        <v>516</v>
      </c>
      <c r="C68" s="144">
        <v>37508470.789576039</v>
      </c>
      <c r="D68" s="144">
        <v>3615953.53</v>
      </c>
      <c r="E68" s="144">
        <v>1205760.3899999999</v>
      </c>
      <c r="F68" s="145">
        <f t="shared" si="7"/>
        <v>4821713.92</v>
      </c>
      <c r="G68" s="144"/>
      <c r="H68" s="144"/>
      <c r="I68" s="145"/>
      <c r="J68" s="144">
        <v>800796.8</v>
      </c>
      <c r="K68" s="144">
        <v>236053.68</v>
      </c>
      <c r="L68" s="145">
        <f t="shared" si="8"/>
        <v>1036850.48</v>
      </c>
      <c r="M68" s="146">
        <v>231198.46</v>
      </c>
      <c r="N68" s="146">
        <v>243358.8</v>
      </c>
      <c r="O68" s="145">
        <f t="shared" si="9"/>
        <v>474557.26</v>
      </c>
      <c r="P68" s="144">
        <v>1435568.98</v>
      </c>
      <c r="Q68" s="144">
        <v>1511074.63</v>
      </c>
      <c r="R68" s="147">
        <f t="shared" si="10"/>
        <v>2946643.61</v>
      </c>
      <c r="S68" s="117">
        <v>0</v>
      </c>
      <c r="T68" s="117">
        <v>0</v>
      </c>
      <c r="U68" s="146">
        <v>0</v>
      </c>
      <c r="V68" s="146">
        <v>7267.46</v>
      </c>
      <c r="W68" s="4"/>
      <c r="X68" s="4"/>
      <c r="Y68" s="4"/>
      <c r="Z68" s="4"/>
      <c r="AA68" s="4"/>
      <c r="AB68" s="4"/>
      <c r="AC68" s="4"/>
      <c r="AD68" s="4"/>
      <c r="AE68" s="4"/>
      <c r="AF68" s="118">
        <f t="shared" si="11"/>
        <v>1036850.48</v>
      </c>
      <c r="AG68" s="112">
        <f t="shared" si="11"/>
        <v>231198.46</v>
      </c>
      <c r="AH68" s="112">
        <f t="shared" si="11"/>
        <v>243358.8</v>
      </c>
      <c r="AI68" s="10">
        <f t="shared" si="12"/>
        <v>283402.77402392001</v>
      </c>
      <c r="AJ68" s="10">
        <f t="shared" si="13"/>
        <v>95388.356350819988</v>
      </c>
      <c r="AK68" s="10">
        <f t="shared" si="14"/>
        <v>884.10017538</v>
      </c>
      <c r="AL68" s="10">
        <f t="shared" si="15"/>
        <v>94882.029449880007</v>
      </c>
      <c r="AM68" s="10">
        <f t="shared" si="16"/>
        <v>0</v>
      </c>
      <c r="AN68" s="9">
        <f t="shared" si="17"/>
        <v>0</v>
      </c>
      <c r="AO68" s="10">
        <f t="shared" si="18"/>
        <v>0</v>
      </c>
      <c r="AP68" s="66">
        <f t="shared" si="19"/>
        <v>3225540.6148998151</v>
      </c>
      <c r="AQ68" s="66">
        <f t="shared" si="20"/>
        <v>1112890.8351823485</v>
      </c>
      <c r="AR68" s="66">
        <f t="shared" si="21"/>
        <v>10368.548153872809</v>
      </c>
      <c r="AS68" s="66">
        <f t="shared" si="22"/>
        <v>259213.70384682028</v>
      </c>
      <c r="AT68" s="66"/>
      <c r="AU68" s="4"/>
      <c r="AV68" s="4"/>
      <c r="AW68" s="4"/>
      <c r="AX68" s="4"/>
      <c r="AY68" s="4"/>
      <c r="AZ68" s="4"/>
      <c r="BA68" s="4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9">
        <f t="shared" ref="BM68:BM131" si="37">SUM(Y68:AF68)+SUM(AI68:BL68)</f>
        <v>6119421.4420828559</v>
      </c>
      <c r="BN68" s="9">
        <f t="shared" si="35"/>
        <v>4716716.2535559637</v>
      </c>
      <c r="BO68" s="9">
        <f t="shared" si="23"/>
        <v>1391452.5401976402</v>
      </c>
      <c r="BP68" s="9">
        <f t="shared" si="24"/>
        <v>11252.648329252808</v>
      </c>
      <c r="BQ68" s="10">
        <f t="shared" si="25"/>
        <v>0</v>
      </c>
      <c r="BR68" s="9">
        <f t="shared" si="26"/>
        <v>6119421.4420828559</v>
      </c>
      <c r="BS68" s="142">
        <f t="shared" si="36"/>
        <v>4338431.4500821633</v>
      </c>
      <c r="BT68" s="83">
        <f t="shared" si="27"/>
        <v>4338431</v>
      </c>
      <c r="BU68" s="175">
        <f t="shared" si="28"/>
        <v>4.2361467449574669E-3</v>
      </c>
      <c r="BV68" s="173">
        <f t="shared" si="29"/>
        <v>1036850.48</v>
      </c>
      <c r="BW68" s="176">
        <f t="shared" si="30"/>
        <v>6.0451771595102233E-3</v>
      </c>
      <c r="BX68" s="177">
        <f t="shared" si="31"/>
        <v>0</v>
      </c>
      <c r="BY68" s="178">
        <f t="shared" si="32"/>
        <v>0</v>
      </c>
      <c r="BZ68" s="4"/>
      <c r="CA68" s="4"/>
      <c r="CB68" s="4"/>
      <c r="CC68" s="4"/>
      <c r="CD68" s="4"/>
      <c r="CE68" s="4"/>
      <c r="CF68" s="4"/>
      <c r="CG68" s="126">
        <f t="shared" si="33"/>
        <v>3415147.6438271999</v>
      </c>
      <c r="CH68" s="126">
        <f t="shared" si="34"/>
        <v>1406566.2761728</v>
      </c>
      <c r="CI68" s="126"/>
      <c r="CJ68" s="126"/>
      <c r="CK68" s="9"/>
      <c r="CL68" s="9"/>
      <c r="CM68" s="127"/>
      <c r="CN68" s="9"/>
      <c r="CO68" s="9"/>
      <c r="CP68" s="9"/>
      <c r="CQ68" s="126"/>
      <c r="CR68" s="126"/>
      <c r="CS68" s="126"/>
      <c r="CT68" s="126"/>
      <c r="CU68" s="126"/>
      <c r="CV68" s="9"/>
      <c r="CW68" s="9"/>
      <c r="CX68" s="127"/>
      <c r="CY68" s="67"/>
      <c r="CZ68" s="67"/>
    </row>
    <row r="69" spans="1:104" x14ac:dyDescent="0.35">
      <c r="A69" s="143">
        <v>64</v>
      </c>
      <c r="B69" s="116" t="s">
        <v>517</v>
      </c>
      <c r="C69" s="144">
        <v>11215053.831194088</v>
      </c>
      <c r="D69" s="144">
        <v>1018672.48</v>
      </c>
      <c r="E69" s="144">
        <v>423022.69</v>
      </c>
      <c r="F69" s="145">
        <f t="shared" si="7"/>
        <v>1441695.17</v>
      </c>
      <c r="G69" s="144"/>
      <c r="H69" s="144"/>
      <c r="I69" s="145"/>
      <c r="J69" s="144">
        <v>219911.35</v>
      </c>
      <c r="K69" s="144">
        <v>87233.06</v>
      </c>
      <c r="L69" s="145">
        <f t="shared" si="8"/>
        <v>307144.41000000003</v>
      </c>
      <c r="M69" s="146">
        <v>95660.29</v>
      </c>
      <c r="N69" s="146">
        <v>61674.06</v>
      </c>
      <c r="O69" s="145">
        <f t="shared" si="9"/>
        <v>157334.34999999998</v>
      </c>
      <c r="P69" s="144">
        <v>593977.78</v>
      </c>
      <c r="Q69" s="144">
        <v>382950.39</v>
      </c>
      <c r="R69" s="147">
        <f t="shared" si="10"/>
        <v>976928.17</v>
      </c>
      <c r="S69" s="117">
        <v>0</v>
      </c>
      <c r="T69" s="117">
        <v>0</v>
      </c>
      <c r="U69" s="146">
        <v>0</v>
      </c>
      <c r="V69" s="146">
        <v>0</v>
      </c>
      <c r="W69" s="4"/>
      <c r="X69" s="4"/>
      <c r="Y69" s="4"/>
      <c r="Z69" s="4"/>
      <c r="AA69" s="4"/>
      <c r="AB69" s="4"/>
      <c r="AC69" s="4"/>
      <c r="AD69" s="4"/>
      <c r="AE69" s="4"/>
      <c r="AF69" s="118">
        <f t="shared" si="11"/>
        <v>307144.41000000003</v>
      </c>
      <c r="AG69" s="112">
        <f t="shared" si="11"/>
        <v>95660.29</v>
      </c>
      <c r="AH69" s="112">
        <f t="shared" si="11"/>
        <v>61674.06</v>
      </c>
      <c r="AI69" s="10">
        <f t="shared" si="12"/>
        <v>92778.816848779999</v>
      </c>
      <c r="AJ69" s="10">
        <f t="shared" si="13"/>
        <v>32805.30398687</v>
      </c>
      <c r="AK69" s="10">
        <f t="shared" si="14"/>
        <v>293.11389405</v>
      </c>
      <c r="AL69" s="10">
        <f t="shared" si="15"/>
        <v>31457.115270299997</v>
      </c>
      <c r="AM69" s="10">
        <f t="shared" si="16"/>
        <v>0</v>
      </c>
      <c r="AN69" s="9">
        <f t="shared" si="17"/>
        <v>0</v>
      </c>
      <c r="AO69" s="10">
        <f t="shared" si="18"/>
        <v>0</v>
      </c>
      <c r="AP69" s="66">
        <f t="shared" si="19"/>
        <v>961259.08687105263</v>
      </c>
      <c r="AQ69" s="66">
        <f t="shared" si="20"/>
        <v>329667.6462904496</v>
      </c>
      <c r="AR69" s="66">
        <f t="shared" si="21"/>
        <v>3071.437698358226</v>
      </c>
      <c r="AS69" s="66">
        <f t="shared" si="22"/>
        <v>76785.942458955644</v>
      </c>
      <c r="AT69" s="66"/>
      <c r="AU69" s="4"/>
      <c r="AV69" s="4"/>
      <c r="AW69" s="4"/>
      <c r="AX69" s="4"/>
      <c r="AY69" s="4"/>
      <c r="AZ69" s="4"/>
      <c r="BA69" s="4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9">
        <f t="shared" si="37"/>
        <v>1835262.8733188161</v>
      </c>
      <c r="BN69" s="9">
        <f t="shared" si="35"/>
        <v>1415162.6652805824</v>
      </c>
      <c r="BO69" s="9">
        <f t="shared" si="23"/>
        <v>416735.65644582565</v>
      </c>
      <c r="BP69" s="9">
        <f t="shared" si="24"/>
        <v>3364.551592408226</v>
      </c>
      <c r="BQ69" s="10">
        <f t="shared" si="25"/>
        <v>0</v>
      </c>
      <c r="BR69" s="9">
        <f t="shared" si="26"/>
        <v>1835262.8733188163</v>
      </c>
      <c r="BS69" s="142">
        <f t="shared" si="36"/>
        <v>1290926.7331615023</v>
      </c>
      <c r="BT69" s="83">
        <f t="shared" si="27"/>
        <v>1290927</v>
      </c>
      <c r="BU69" s="175">
        <f t="shared" si="28"/>
        <v>1.2604912954328478E-3</v>
      </c>
      <c r="BV69" s="173">
        <f t="shared" si="29"/>
        <v>307144.41000000003</v>
      </c>
      <c r="BW69" s="176">
        <f t="shared" si="30"/>
        <v>1.7907522905358964E-3</v>
      </c>
      <c r="BX69" s="177">
        <f t="shared" si="31"/>
        <v>0</v>
      </c>
      <c r="BY69" s="178">
        <f t="shared" si="32"/>
        <v>0</v>
      </c>
      <c r="BZ69" s="4"/>
      <c r="CA69" s="4"/>
      <c r="CB69" s="4"/>
      <c r="CC69" s="4"/>
      <c r="CD69" s="4"/>
      <c r="CE69" s="4"/>
      <c r="CF69" s="4"/>
      <c r="CG69" s="126">
        <f t="shared" si="33"/>
        <v>1021131.0634834501</v>
      </c>
      <c r="CH69" s="126">
        <f t="shared" si="34"/>
        <v>420564.10651655</v>
      </c>
      <c r="CI69" s="126"/>
      <c r="CJ69" s="126"/>
      <c r="CK69" s="9"/>
      <c r="CL69" s="9"/>
      <c r="CM69" s="127"/>
      <c r="CN69" s="9"/>
      <c r="CO69" s="9"/>
      <c r="CP69" s="9"/>
      <c r="CQ69" s="126"/>
      <c r="CR69" s="126"/>
      <c r="CS69" s="126"/>
      <c r="CT69" s="126"/>
      <c r="CU69" s="126"/>
      <c r="CV69" s="9"/>
      <c r="CW69" s="9"/>
      <c r="CX69" s="127"/>
      <c r="CY69" s="67"/>
      <c r="CZ69" s="67"/>
    </row>
    <row r="70" spans="1:104" x14ac:dyDescent="0.35">
      <c r="A70" s="143">
        <v>65</v>
      </c>
      <c r="B70" s="116" t="s">
        <v>518</v>
      </c>
      <c r="C70" s="144">
        <v>4074186.3866199921</v>
      </c>
      <c r="D70" s="144">
        <v>451550.75</v>
      </c>
      <c r="E70" s="144">
        <v>72185.91</v>
      </c>
      <c r="F70" s="145">
        <f t="shared" si="7"/>
        <v>523736.66000000003</v>
      </c>
      <c r="G70" s="144"/>
      <c r="H70" s="144"/>
      <c r="I70" s="145"/>
      <c r="J70" s="144">
        <v>82939.11</v>
      </c>
      <c r="K70" s="144">
        <v>12537.26</v>
      </c>
      <c r="L70" s="145">
        <f t="shared" si="8"/>
        <v>95476.37</v>
      </c>
      <c r="M70" s="146">
        <v>120467.8</v>
      </c>
      <c r="N70" s="146">
        <v>23131.42</v>
      </c>
      <c r="O70" s="145">
        <f t="shared" si="9"/>
        <v>143599.22</v>
      </c>
      <c r="P70" s="144">
        <v>748015.47</v>
      </c>
      <c r="Q70" s="144">
        <v>143629.04</v>
      </c>
      <c r="R70" s="147">
        <f t="shared" si="10"/>
        <v>891644.51</v>
      </c>
      <c r="S70" s="117">
        <v>0</v>
      </c>
      <c r="T70" s="117">
        <v>0</v>
      </c>
      <c r="U70" s="146">
        <v>0</v>
      </c>
      <c r="V70" s="146">
        <v>0</v>
      </c>
      <c r="W70" s="4"/>
      <c r="X70" s="4"/>
      <c r="Y70" s="4"/>
      <c r="Z70" s="4"/>
      <c r="AA70" s="4"/>
      <c r="AB70" s="4"/>
      <c r="AC70" s="4"/>
      <c r="AD70" s="4"/>
      <c r="AE70" s="4"/>
      <c r="AF70" s="118">
        <f t="shared" si="11"/>
        <v>95476.37</v>
      </c>
      <c r="AG70" s="112">
        <f t="shared" si="11"/>
        <v>120467.8</v>
      </c>
      <c r="AH70" s="112">
        <f t="shared" si="11"/>
        <v>23131.42</v>
      </c>
      <c r="AI70" s="10">
        <f t="shared" si="12"/>
        <v>82620.4054875</v>
      </c>
      <c r="AJ70" s="10">
        <f t="shared" si="13"/>
        <v>32000.348317279997</v>
      </c>
      <c r="AK70" s="10">
        <f t="shared" si="14"/>
        <v>267.52534686000001</v>
      </c>
      <c r="AL70" s="10">
        <f t="shared" si="15"/>
        <v>28710.940848360002</v>
      </c>
      <c r="AM70" s="10">
        <f t="shared" si="16"/>
        <v>0</v>
      </c>
      <c r="AN70" s="9">
        <f t="shared" si="17"/>
        <v>0</v>
      </c>
      <c r="AO70" s="10">
        <f t="shared" si="18"/>
        <v>0</v>
      </c>
      <c r="AP70" s="66">
        <f t="shared" si="19"/>
        <v>293949.54303217796</v>
      </c>
      <c r="AQ70" s="66">
        <f t="shared" si="20"/>
        <v>102477.84842716376</v>
      </c>
      <c r="AR70" s="66">
        <f t="shared" si="21"/>
        <v>954.76256298599753</v>
      </c>
      <c r="AS70" s="66">
        <f t="shared" si="22"/>
        <v>23869.064074649941</v>
      </c>
      <c r="AT70" s="66"/>
      <c r="AU70" s="4"/>
      <c r="AV70" s="4"/>
      <c r="AW70" s="4"/>
      <c r="AX70" s="4"/>
      <c r="AY70" s="4"/>
      <c r="AZ70" s="4"/>
      <c r="BA70" s="4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9">
        <f t="shared" si="37"/>
        <v>660326.80809697765</v>
      </c>
      <c r="BN70" s="9">
        <f t="shared" si="35"/>
        <v>507758.73779520171</v>
      </c>
      <c r="BO70" s="9">
        <f t="shared" si="23"/>
        <v>151345.78239192994</v>
      </c>
      <c r="BP70" s="9">
        <f t="shared" si="24"/>
        <v>1222.2879098459975</v>
      </c>
      <c r="BQ70" s="10">
        <f t="shared" si="25"/>
        <v>0</v>
      </c>
      <c r="BR70" s="9">
        <f t="shared" si="26"/>
        <v>660326.80809697765</v>
      </c>
      <c r="BS70" s="142">
        <f t="shared" si="36"/>
        <v>396427.39145934174</v>
      </c>
      <c r="BT70" s="83">
        <f t="shared" si="27"/>
        <v>396427</v>
      </c>
      <c r="BU70" s="175">
        <f t="shared" si="28"/>
        <v>3.8708105066651824E-4</v>
      </c>
      <c r="BV70" s="173">
        <f t="shared" si="29"/>
        <v>95476.37</v>
      </c>
      <c r="BW70" s="176">
        <f t="shared" si="30"/>
        <v>5.5665844046959116E-4</v>
      </c>
      <c r="BX70" s="177">
        <f t="shared" si="31"/>
        <v>0</v>
      </c>
      <c r="BY70" s="178">
        <f t="shared" si="32"/>
        <v>0</v>
      </c>
      <c r="BZ70" s="4"/>
      <c r="CA70" s="4"/>
      <c r="CB70" s="4"/>
      <c r="CC70" s="4"/>
      <c r="CD70" s="4"/>
      <c r="CE70" s="4"/>
      <c r="CF70" s="4"/>
      <c r="CG70" s="126">
        <f t="shared" si="33"/>
        <v>370954.82022810006</v>
      </c>
      <c r="CH70" s="126">
        <f t="shared" si="34"/>
        <v>152781.83977190001</v>
      </c>
      <c r="CI70" s="126"/>
      <c r="CJ70" s="126"/>
      <c r="CK70" s="9"/>
      <c r="CL70" s="9"/>
      <c r="CM70" s="127"/>
      <c r="CN70" s="9"/>
      <c r="CO70" s="9"/>
      <c r="CP70" s="9"/>
      <c r="CQ70" s="126"/>
      <c r="CR70" s="126"/>
      <c r="CS70" s="126"/>
      <c r="CT70" s="126"/>
      <c r="CU70" s="126"/>
      <c r="CV70" s="9"/>
      <c r="CW70" s="9"/>
      <c r="CX70" s="127"/>
      <c r="CY70" s="67"/>
      <c r="CZ70" s="67"/>
    </row>
    <row r="71" spans="1:104" x14ac:dyDescent="0.35">
      <c r="A71" s="143">
        <v>66</v>
      </c>
      <c r="B71" s="116" t="s">
        <v>519</v>
      </c>
      <c r="C71" s="144">
        <v>8518346.3243873976</v>
      </c>
      <c r="D71" s="144">
        <v>920739.12</v>
      </c>
      <c r="E71" s="144">
        <v>174294.3</v>
      </c>
      <c r="F71" s="145">
        <f t="shared" ref="F71:F134" si="38">D71+E71</f>
        <v>1095033.42</v>
      </c>
      <c r="G71" s="144"/>
      <c r="H71" s="144"/>
      <c r="I71" s="145"/>
      <c r="J71" s="144">
        <v>180745.86</v>
      </c>
      <c r="K71" s="144">
        <v>30646.47</v>
      </c>
      <c r="L71" s="145">
        <f t="shared" ref="L71:L134" si="39">J71+K71</f>
        <v>211392.33</v>
      </c>
      <c r="M71" s="146">
        <v>183213.03</v>
      </c>
      <c r="N71" s="146">
        <v>53836.5</v>
      </c>
      <c r="O71" s="145">
        <f t="shared" ref="O71:O134" si="40">M71+N71</f>
        <v>237049.53</v>
      </c>
      <c r="P71" s="144">
        <v>1137616.2</v>
      </c>
      <c r="Q71" s="144">
        <v>334289.03999999998</v>
      </c>
      <c r="R71" s="147">
        <f t="shared" ref="R71:R134" si="41">P71+Q71</f>
        <v>1471905.24</v>
      </c>
      <c r="S71" s="117">
        <v>0</v>
      </c>
      <c r="T71" s="117">
        <v>0</v>
      </c>
      <c r="U71" s="146">
        <v>0</v>
      </c>
      <c r="V71" s="146">
        <v>0</v>
      </c>
      <c r="W71" s="4"/>
      <c r="X71" s="4"/>
      <c r="Y71" s="4"/>
      <c r="Z71" s="4"/>
      <c r="AA71" s="4"/>
      <c r="AB71" s="4"/>
      <c r="AC71" s="4"/>
      <c r="AD71" s="4"/>
      <c r="AE71" s="4"/>
      <c r="AF71" s="118">
        <f t="shared" ref="AF71:AH134" si="42">L71</f>
        <v>211392.33</v>
      </c>
      <c r="AG71" s="112">
        <f t="shared" si="42"/>
        <v>183213.03</v>
      </c>
      <c r="AH71" s="112">
        <f t="shared" si="42"/>
        <v>53836.5</v>
      </c>
      <c r="AI71" s="10">
        <f t="shared" ref="AI71:AI134" si="43">(AG71*0.565352)+(AH71*0.627445)</f>
        <v>137359.29567905999</v>
      </c>
      <c r="AJ71" s="10">
        <f t="shared" ref="AJ71:AJ134" si="44">(AG71*0.232847)+(AH71*0.170754)</f>
        <v>51853.402117410005</v>
      </c>
      <c r="AK71" s="10">
        <f t="shared" ref="AK71:AK134" si="45">(AG71*0.001863)+(AH71*0.001863)</f>
        <v>441.62327439000001</v>
      </c>
      <c r="AL71" s="10">
        <f t="shared" ref="AL71:AL134" si="46">(AG71*0.199938)+(AH71*0.199938)</f>
        <v>47395.208929140004</v>
      </c>
      <c r="AM71" s="10">
        <f t="shared" ref="AM71:AM134" si="47">S71</f>
        <v>0</v>
      </c>
      <c r="AN71" s="9">
        <f t="shared" ref="AN71:AN134" si="48">U71</f>
        <v>0</v>
      </c>
      <c r="AO71" s="10">
        <f t="shared" ref="AO71:AO134" si="49">T71</f>
        <v>0</v>
      </c>
      <c r="AP71" s="66">
        <f t="shared" ref="AP71:AP134" si="50">(((D71/0.12855)-P71)*0.09105)+(((E71/0.12855)-Q71)*0.10105)</f>
        <v>651794.053413986</v>
      </c>
      <c r="AQ71" s="66">
        <f t="shared" ref="AQ71:AQ134" si="51">(((D71/0.12855)-P71)*0.0322)+(((E71/0.12855)-Q71)*0.0322)</f>
        <v>226895.40291727422</v>
      </c>
      <c r="AR71" s="66">
        <f t="shared" ref="AR71:AR134" si="52">(((D71/0.12855)-P71)*0.0003)+(((E71/0.12855)-Q71)*0.0003)</f>
        <v>2113.9323253162192</v>
      </c>
      <c r="AS71" s="66">
        <f t="shared" ref="AS71:AS134" si="53">(((D71/0.12855)-P71)*0.0075)+(((E71/0.12855)-Q71)*0.0075)</f>
        <v>52848.308132905484</v>
      </c>
      <c r="AT71" s="66"/>
      <c r="AU71" s="4"/>
      <c r="AV71" s="4"/>
      <c r="AW71" s="4"/>
      <c r="AX71" s="4"/>
      <c r="AY71" s="4"/>
      <c r="AZ71" s="4"/>
      <c r="BA71" s="4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9">
        <f t="shared" si="37"/>
        <v>1382093.556789482</v>
      </c>
      <c r="BN71" s="9">
        <f t="shared" si="35"/>
        <v>1063443.9609394602</v>
      </c>
      <c r="BO71" s="9">
        <f t="shared" ref="BO71:BO134" si="54">AB71+AC71+AF71+AJ71+AS71+AX71+BD71+BL71</f>
        <v>316094.04025031545</v>
      </c>
      <c r="BP71" s="9">
        <f t="shared" ref="BP71:BP134" si="55">AD71+AK71+AR71+BH71+BJ71</f>
        <v>2555.5555997062193</v>
      </c>
      <c r="BQ71" s="10">
        <f t="shared" ref="BQ71:BQ134" si="56">BK71</f>
        <v>0</v>
      </c>
      <c r="BR71" s="9">
        <f t="shared" ref="BR71:BR134" si="57">SUM(BN71:BQ71)</f>
        <v>1382093.556789482</v>
      </c>
      <c r="BS71" s="142">
        <f t="shared" si="36"/>
        <v>878689.45633126027</v>
      </c>
      <c r="BT71" s="83">
        <f t="shared" ref="BT71:BT134" si="58">ROUND(BS71,0)</f>
        <v>878689</v>
      </c>
      <c r="BU71" s="175">
        <f t="shared" ref="BU71:BU134" si="59">BS71/$BS$5</f>
        <v>8.5797309997732486E-4</v>
      </c>
      <c r="BV71" s="173">
        <f t="shared" ref="BV71:BV134" si="60">AB71+AC71+AF71+AX71</f>
        <v>211392.33</v>
      </c>
      <c r="BW71" s="176">
        <f t="shared" ref="BW71:BW134" si="61">BV71/$BV$5</f>
        <v>1.2324863706593911E-3</v>
      </c>
      <c r="BX71" s="177">
        <f t="shared" ref="BX71:BX134" si="62">AD71</f>
        <v>0</v>
      </c>
      <c r="BY71" s="178">
        <f t="shared" ref="BY71:BY134" si="63">BX71/$BX$5</f>
        <v>0</v>
      </c>
      <c r="BZ71" s="4"/>
      <c r="CA71" s="4"/>
      <c r="CB71" s="4"/>
      <c r="CC71" s="4"/>
      <c r="CD71" s="4"/>
      <c r="CE71" s="4"/>
      <c r="CF71" s="4"/>
      <c r="CG71" s="126">
        <f t="shared" ref="CG71:CG134" si="64">(D71*0.708285)+(E71*0.708285)</f>
        <v>775595.74588469998</v>
      </c>
      <c r="CH71" s="126">
        <f t="shared" ref="CH71:CH134" si="65">(D71*0.291715)+(E71*0.291715)</f>
        <v>319437.6741153</v>
      </c>
      <c r="CI71" s="126"/>
      <c r="CJ71" s="126"/>
      <c r="CK71" s="9"/>
      <c r="CL71" s="9"/>
      <c r="CM71" s="127"/>
      <c r="CN71" s="9"/>
      <c r="CO71" s="9"/>
      <c r="CP71" s="9"/>
      <c r="CQ71" s="126"/>
      <c r="CR71" s="126"/>
      <c r="CS71" s="126"/>
      <c r="CT71" s="126"/>
      <c r="CU71" s="126"/>
      <c r="CV71" s="9"/>
      <c r="CW71" s="9"/>
      <c r="CX71" s="127"/>
      <c r="CY71" s="67"/>
      <c r="CZ71" s="67"/>
    </row>
    <row r="72" spans="1:104" x14ac:dyDescent="0.35">
      <c r="A72" s="143">
        <v>67</v>
      </c>
      <c r="B72" s="116" t="s">
        <v>520</v>
      </c>
      <c r="C72" s="144">
        <v>14581005.056398289</v>
      </c>
      <c r="D72" s="144">
        <v>1398505.75</v>
      </c>
      <c r="E72" s="144">
        <v>475882.45</v>
      </c>
      <c r="F72" s="145">
        <f t="shared" si="38"/>
        <v>1874388.2</v>
      </c>
      <c r="G72" s="144"/>
      <c r="H72" s="144"/>
      <c r="I72" s="145"/>
      <c r="J72" s="144">
        <v>293975.90000000002</v>
      </c>
      <c r="K72" s="144">
        <v>86515.12</v>
      </c>
      <c r="L72" s="145">
        <f t="shared" si="39"/>
        <v>380491.02</v>
      </c>
      <c r="M72" s="146">
        <v>173916.04</v>
      </c>
      <c r="N72" s="146">
        <v>131761.37</v>
      </c>
      <c r="O72" s="145">
        <f t="shared" si="40"/>
        <v>305677.41000000003</v>
      </c>
      <c r="P72" s="144">
        <v>1079890</v>
      </c>
      <c r="Q72" s="144">
        <v>818138.39</v>
      </c>
      <c r="R72" s="147">
        <f t="shared" si="41"/>
        <v>1898028.3900000001</v>
      </c>
      <c r="S72" s="117">
        <v>11249.68</v>
      </c>
      <c r="T72" s="117">
        <v>0</v>
      </c>
      <c r="U72" s="146">
        <v>0</v>
      </c>
      <c r="V72" s="146">
        <v>0</v>
      </c>
      <c r="W72" s="4"/>
      <c r="X72" s="4"/>
      <c r="Y72" s="4"/>
      <c r="Z72" s="4"/>
      <c r="AA72" s="4"/>
      <c r="AB72" s="4"/>
      <c r="AC72" s="4"/>
      <c r="AD72" s="4"/>
      <c r="AE72" s="4"/>
      <c r="AF72" s="118">
        <f t="shared" si="42"/>
        <v>380491.02</v>
      </c>
      <c r="AG72" s="112">
        <f t="shared" si="42"/>
        <v>173916.04</v>
      </c>
      <c r="AH72" s="112">
        <f t="shared" si="42"/>
        <v>131761.37</v>
      </c>
      <c r="AI72" s="10">
        <f t="shared" si="43"/>
        <v>180996.79384572999</v>
      </c>
      <c r="AJ72" s="10">
        <f t="shared" si="44"/>
        <v>62994.609138860003</v>
      </c>
      <c r="AK72" s="10">
        <f t="shared" si="45"/>
        <v>569.47701483000003</v>
      </c>
      <c r="AL72" s="10">
        <f t="shared" si="46"/>
        <v>61116.530000580009</v>
      </c>
      <c r="AM72" s="10">
        <f t="shared" si="47"/>
        <v>11249.68</v>
      </c>
      <c r="AN72" s="9">
        <f t="shared" si="48"/>
        <v>0</v>
      </c>
      <c r="AO72" s="10">
        <f t="shared" si="49"/>
        <v>0</v>
      </c>
      <c r="AP72" s="66">
        <f t="shared" si="50"/>
        <v>1183622.8908948952</v>
      </c>
      <c r="AQ72" s="66">
        <f t="shared" si="51"/>
        <v>408391.84865802492</v>
      </c>
      <c r="AR72" s="66">
        <f t="shared" si="52"/>
        <v>3804.8929999194861</v>
      </c>
      <c r="AS72" s="66">
        <f t="shared" si="53"/>
        <v>95122.324997987162</v>
      </c>
      <c r="AT72" s="66"/>
      <c r="AU72" s="4"/>
      <c r="AV72" s="4"/>
      <c r="AW72" s="4"/>
      <c r="AX72" s="4"/>
      <c r="AY72" s="4"/>
      <c r="AZ72" s="4"/>
      <c r="BA72" s="4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9">
        <f t="shared" si="37"/>
        <v>2388360.0675508268</v>
      </c>
      <c r="BN72" s="9">
        <f t="shared" ref="BN72:BN135" si="66">Y72+AE72+AI72+AL72+AM72+AN72+AO72+AP72+AQ72+AU72+AV72+AW72+AY72+AZ72+BA72+BB72+BE72+BF72+BG72+BI72+Z72+AA72+BC72</f>
        <v>1845377.7433992303</v>
      </c>
      <c r="BO72" s="9">
        <f t="shared" si="54"/>
        <v>538607.95413684717</v>
      </c>
      <c r="BP72" s="9">
        <f t="shared" si="55"/>
        <v>4374.3700147494865</v>
      </c>
      <c r="BQ72" s="10">
        <f t="shared" si="56"/>
        <v>0</v>
      </c>
      <c r="BR72" s="9">
        <f t="shared" si="57"/>
        <v>2388360.0675508268</v>
      </c>
      <c r="BS72" s="142">
        <f t="shared" ref="BS72:BS135" si="67">Y72+Z72+AA72+AE72+AO72+AP72+AQ72+AT72+AU72+AV72+AW72</f>
        <v>1592014.7395529202</v>
      </c>
      <c r="BT72" s="83">
        <f t="shared" si="58"/>
        <v>1592015</v>
      </c>
      <c r="BU72" s="175">
        <f t="shared" si="59"/>
        <v>1.5544807229243395E-3</v>
      </c>
      <c r="BV72" s="173">
        <f t="shared" si="60"/>
        <v>380491.02</v>
      </c>
      <c r="BW72" s="176">
        <f t="shared" si="61"/>
        <v>2.2183869978077723E-3</v>
      </c>
      <c r="BX72" s="177">
        <f t="shared" si="62"/>
        <v>0</v>
      </c>
      <c r="BY72" s="178">
        <f t="shared" si="63"/>
        <v>0</v>
      </c>
      <c r="BZ72" s="4"/>
      <c r="CA72" s="4"/>
      <c r="CB72" s="4"/>
      <c r="CC72" s="4"/>
      <c r="CD72" s="4"/>
      <c r="CE72" s="4"/>
      <c r="CF72" s="4"/>
      <c r="CG72" s="126">
        <f t="shared" si="64"/>
        <v>1327601.0462370003</v>
      </c>
      <c r="CH72" s="126">
        <f t="shared" si="65"/>
        <v>546787.15376300004</v>
      </c>
      <c r="CI72" s="126"/>
      <c r="CJ72" s="126"/>
      <c r="CK72" s="9"/>
      <c r="CL72" s="9"/>
      <c r="CM72" s="127"/>
      <c r="CN72" s="9"/>
      <c r="CO72" s="9"/>
      <c r="CP72" s="9"/>
      <c r="CQ72" s="126"/>
      <c r="CR72" s="126"/>
      <c r="CS72" s="126"/>
      <c r="CT72" s="126"/>
      <c r="CU72" s="126"/>
      <c r="CV72" s="9"/>
      <c r="CW72" s="9"/>
      <c r="CX72" s="127"/>
      <c r="CY72" s="67"/>
      <c r="CZ72" s="67"/>
    </row>
    <row r="73" spans="1:104" x14ac:dyDescent="0.35">
      <c r="A73" s="143">
        <v>68</v>
      </c>
      <c r="B73" s="116" t="s">
        <v>521</v>
      </c>
      <c r="C73" s="144">
        <v>9595142.9015947115</v>
      </c>
      <c r="D73" s="144">
        <v>1016655.89</v>
      </c>
      <c r="E73" s="144">
        <v>216799.73</v>
      </c>
      <c r="F73" s="145">
        <f t="shared" si="38"/>
        <v>1233455.6200000001</v>
      </c>
      <c r="G73" s="144"/>
      <c r="H73" s="144"/>
      <c r="I73" s="145"/>
      <c r="J73" s="144">
        <v>208942.42</v>
      </c>
      <c r="K73" s="144">
        <v>40765.06</v>
      </c>
      <c r="L73" s="145">
        <f t="shared" si="39"/>
        <v>249707.48</v>
      </c>
      <c r="M73" s="146">
        <v>152018.81</v>
      </c>
      <c r="N73" s="146">
        <v>52772.76</v>
      </c>
      <c r="O73" s="145">
        <f t="shared" si="40"/>
        <v>204791.57</v>
      </c>
      <c r="P73" s="144">
        <v>943921.79</v>
      </c>
      <c r="Q73" s="144">
        <v>327677.71000000002</v>
      </c>
      <c r="R73" s="147">
        <f t="shared" si="41"/>
        <v>1271599.5</v>
      </c>
      <c r="S73" s="117">
        <v>5325.83</v>
      </c>
      <c r="T73" s="117">
        <v>0</v>
      </c>
      <c r="U73" s="146">
        <v>0</v>
      </c>
      <c r="V73" s="146">
        <v>0</v>
      </c>
      <c r="W73" s="4"/>
      <c r="X73" s="4"/>
      <c r="Y73" s="4"/>
      <c r="Z73" s="4"/>
      <c r="AA73" s="4"/>
      <c r="AB73" s="4"/>
      <c r="AC73" s="4"/>
      <c r="AD73" s="4"/>
      <c r="AE73" s="4"/>
      <c r="AF73" s="118">
        <f t="shared" si="42"/>
        <v>249707.48</v>
      </c>
      <c r="AG73" s="112">
        <f t="shared" si="42"/>
        <v>152018.81</v>
      </c>
      <c r="AH73" s="112">
        <f t="shared" si="42"/>
        <v>52772.76</v>
      </c>
      <c r="AI73" s="10">
        <f t="shared" si="43"/>
        <v>119056.14266932</v>
      </c>
      <c r="AJ73" s="10">
        <f t="shared" si="44"/>
        <v>44408.283713109995</v>
      </c>
      <c r="AK73" s="10">
        <f t="shared" si="45"/>
        <v>381.52669491</v>
      </c>
      <c r="AL73" s="10">
        <f t="shared" si="46"/>
        <v>40945.616922660003</v>
      </c>
      <c r="AM73" s="10">
        <f t="shared" si="47"/>
        <v>5325.83</v>
      </c>
      <c r="AN73" s="9">
        <f t="shared" si="48"/>
        <v>0</v>
      </c>
      <c r="AO73" s="10">
        <f t="shared" si="49"/>
        <v>0</v>
      </c>
      <c r="AP73" s="66">
        <f t="shared" si="50"/>
        <v>771446.8616727636</v>
      </c>
      <c r="AQ73" s="66">
        <f t="shared" si="51"/>
        <v>268018.09753134969</v>
      </c>
      <c r="AR73" s="66">
        <f t="shared" si="52"/>
        <v>2497.0630204784129</v>
      </c>
      <c r="AS73" s="66">
        <f t="shared" si="53"/>
        <v>62426.575511960327</v>
      </c>
      <c r="AT73" s="66"/>
      <c r="AU73" s="4"/>
      <c r="AV73" s="4"/>
      <c r="AW73" s="4"/>
      <c r="AX73" s="4"/>
      <c r="AY73" s="4"/>
      <c r="AZ73" s="4"/>
      <c r="BA73" s="4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9">
        <f t="shared" si="37"/>
        <v>1564213.477736552</v>
      </c>
      <c r="BN73" s="9">
        <f t="shared" si="66"/>
        <v>1204792.5487960933</v>
      </c>
      <c r="BO73" s="9">
        <f t="shared" si="54"/>
        <v>356542.33922507032</v>
      </c>
      <c r="BP73" s="9">
        <f t="shared" si="55"/>
        <v>2878.589715388413</v>
      </c>
      <c r="BQ73" s="10">
        <f t="shared" si="56"/>
        <v>0</v>
      </c>
      <c r="BR73" s="9">
        <f t="shared" si="57"/>
        <v>1564213.477736552</v>
      </c>
      <c r="BS73" s="142">
        <f t="shared" si="67"/>
        <v>1039464.9592041133</v>
      </c>
      <c r="BT73" s="83">
        <f t="shared" si="58"/>
        <v>1039465</v>
      </c>
      <c r="BU73" s="175">
        <f t="shared" si="59"/>
        <v>1.0149580912120805E-3</v>
      </c>
      <c r="BV73" s="173">
        <f t="shared" si="60"/>
        <v>249707.48</v>
      </c>
      <c r="BW73" s="176">
        <f t="shared" si="61"/>
        <v>1.4558762172293693E-3</v>
      </c>
      <c r="BX73" s="177">
        <f t="shared" si="62"/>
        <v>0</v>
      </c>
      <c r="BY73" s="178">
        <f t="shared" si="63"/>
        <v>0</v>
      </c>
      <c r="BZ73" s="4"/>
      <c r="CA73" s="4"/>
      <c r="CB73" s="4"/>
      <c r="CC73" s="4"/>
      <c r="CD73" s="4"/>
      <c r="CE73" s="4"/>
      <c r="CF73" s="4"/>
      <c r="CG73" s="126">
        <f t="shared" si="64"/>
        <v>873638.11381170014</v>
      </c>
      <c r="CH73" s="126">
        <f t="shared" si="65"/>
        <v>359817.50618830003</v>
      </c>
      <c r="CI73" s="126"/>
      <c r="CJ73" s="126"/>
      <c r="CK73" s="9"/>
      <c r="CL73" s="9"/>
      <c r="CM73" s="127"/>
      <c r="CN73" s="9"/>
      <c r="CO73" s="9"/>
      <c r="CP73" s="9"/>
      <c r="CQ73" s="126"/>
      <c r="CR73" s="126"/>
      <c r="CS73" s="126"/>
      <c r="CT73" s="126"/>
      <c r="CU73" s="126"/>
      <c r="CV73" s="9"/>
      <c r="CW73" s="9"/>
      <c r="CX73" s="127"/>
      <c r="CY73" s="67"/>
      <c r="CZ73" s="67"/>
    </row>
    <row r="74" spans="1:104" x14ac:dyDescent="0.35">
      <c r="A74" s="143">
        <v>69</v>
      </c>
      <c r="B74" s="116" t="s">
        <v>522</v>
      </c>
      <c r="C74" s="144">
        <v>16798223.415013615</v>
      </c>
      <c r="D74" s="144">
        <v>1731460.51</v>
      </c>
      <c r="E74" s="144">
        <v>427951.11</v>
      </c>
      <c r="F74" s="145">
        <f t="shared" si="38"/>
        <v>2159411.62</v>
      </c>
      <c r="G74" s="144"/>
      <c r="H74" s="144"/>
      <c r="I74" s="145"/>
      <c r="J74" s="144">
        <v>360315.8</v>
      </c>
      <c r="K74" s="144">
        <v>71661.75</v>
      </c>
      <c r="L74" s="145">
        <f t="shared" si="39"/>
        <v>431977.55</v>
      </c>
      <c r="M74" s="146">
        <v>234939.3</v>
      </c>
      <c r="N74" s="146">
        <v>151444.21</v>
      </c>
      <c r="O74" s="145">
        <f t="shared" si="40"/>
        <v>386383.51</v>
      </c>
      <c r="P74" s="144">
        <v>1458800.85</v>
      </c>
      <c r="Q74" s="144">
        <v>940357.85</v>
      </c>
      <c r="R74" s="147">
        <f t="shared" si="41"/>
        <v>2399158.7000000002</v>
      </c>
      <c r="S74" s="117">
        <v>0</v>
      </c>
      <c r="T74" s="117">
        <v>0</v>
      </c>
      <c r="U74" s="146">
        <v>0</v>
      </c>
      <c r="V74" s="146">
        <v>0</v>
      </c>
      <c r="W74" s="4"/>
      <c r="X74" s="4"/>
      <c r="Y74" s="4"/>
      <c r="Z74" s="4"/>
      <c r="AA74" s="4"/>
      <c r="AB74" s="4"/>
      <c r="AC74" s="4"/>
      <c r="AD74" s="4"/>
      <c r="AE74" s="4"/>
      <c r="AF74" s="118">
        <f t="shared" si="42"/>
        <v>431977.55</v>
      </c>
      <c r="AG74" s="112">
        <f t="shared" si="42"/>
        <v>234939.3</v>
      </c>
      <c r="AH74" s="112">
        <f t="shared" si="42"/>
        <v>151444.21</v>
      </c>
      <c r="AI74" s="10">
        <f t="shared" si="43"/>
        <v>227846.31547704997</v>
      </c>
      <c r="AJ74" s="10">
        <f t="shared" si="44"/>
        <v>80564.615821439991</v>
      </c>
      <c r="AK74" s="10">
        <f t="shared" si="45"/>
        <v>719.83247912999991</v>
      </c>
      <c r="AL74" s="10">
        <f t="shared" si="46"/>
        <v>77252.746222379996</v>
      </c>
      <c r="AM74" s="10">
        <f t="shared" si="47"/>
        <v>0</v>
      </c>
      <c r="AN74" s="9">
        <f t="shared" si="48"/>
        <v>0</v>
      </c>
      <c r="AO74" s="10">
        <f t="shared" si="49"/>
        <v>0</v>
      </c>
      <c r="AP74" s="66">
        <f t="shared" si="50"/>
        <v>1334921.8985744517</v>
      </c>
      <c r="AQ74" s="66">
        <f t="shared" si="51"/>
        <v>463649.88382343837</v>
      </c>
      <c r="AR74" s="66">
        <f t="shared" si="52"/>
        <v>4319.7194145040839</v>
      </c>
      <c r="AS74" s="66">
        <f t="shared" si="53"/>
        <v>107992.98536260211</v>
      </c>
      <c r="AT74" s="66"/>
      <c r="AU74" s="4"/>
      <c r="AV74" s="4"/>
      <c r="AW74" s="4"/>
      <c r="AX74" s="4"/>
      <c r="AY74" s="4"/>
      <c r="AZ74" s="4"/>
      <c r="BA74" s="4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9">
        <f t="shared" si="37"/>
        <v>2729245.5471749962</v>
      </c>
      <c r="BN74" s="9">
        <f t="shared" si="66"/>
        <v>2103670.84409732</v>
      </c>
      <c r="BO74" s="9">
        <f t="shared" si="54"/>
        <v>620535.1511840421</v>
      </c>
      <c r="BP74" s="9">
        <f t="shared" si="55"/>
        <v>5039.5518936340841</v>
      </c>
      <c r="BQ74" s="10">
        <f t="shared" si="56"/>
        <v>0</v>
      </c>
      <c r="BR74" s="9">
        <f t="shared" si="57"/>
        <v>2729245.5471749962</v>
      </c>
      <c r="BS74" s="142">
        <f t="shared" si="67"/>
        <v>1798571.78239789</v>
      </c>
      <c r="BT74" s="83">
        <f t="shared" si="58"/>
        <v>1798572</v>
      </c>
      <c r="BU74" s="175">
        <f t="shared" si="59"/>
        <v>1.7561678890726459E-3</v>
      </c>
      <c r="BV74" s="173">
        <f t="shared" si="60"/>
        <v>431977.55</v>
      </c>
      <c r="BW74" s="176">
        <f t="shared" si="61"/>
        <v>2.5185702944181356E-3</v>
      </c>
      <c r="BX74" s="177">
        <f t="shared" si="62"/>
        <v>0</v>
      </c>
      <c r="BY74" s="178">
        <f t="shared" si="63"/>
        <v>0</v>
      </c>
      <c r="BZ74" s="4"/>
      <c r="CA74" s="4"/>
      <c r="CB74" s="4"/>
      <c r="CC74" s="4"/>
      <c r="CD74" s="4"/>
      <c r="CE74" s="4"/>
      <c r="CF74" s="4"/>
      <c r="CG74" s="126">
        <f t="shared" si="64"/>
        <v>1529478.8592717</v>
      </c>
      <c r="CH74" s="126">
        <f t="shared" si="65"/>
        <v>629932.76072829997</v>
      </c>
      <c r="CI74" s="126"/>
      <c r="CJ74" s="126"/>
      <c r="CK74" s="9"/>
      <c r="CL74" s="9"/>
      <c r="CM74" s="127"/>
      <c r="CN74" s="9"/>
      <c r="CO74" s="9"/>
      <c r="CP74" s="9"/>
      <c r="CQ74" s="126"/>
      <c r="CR74" s="126"/>
      <c r="CS74" s="126"/>
      <c r="CT74" s="126"/>
      <c r="CU74" s="126"/>
      <c r="CV74" s="9"/>
      <c r="CW74" s="9"/>
      <c r="CX74" s="127"/>
      <c r="CY74" s="67"/>
      <c r="CZ74" s="67"/>
    </row>
    <row r="75" spans="1:104" x14ac:dyDescent="0.35">
      <c r="A75" s="143">
        <v>70</v>
      </c>
      <c r="B75" s="116" t="s">
        <v>523</v>
      </c>
      <c r="C75" s="144">
        <v>5692521.3535589268</v>
      </c>
      <c r="D75" s="144">
        <v>582551.06999999995</v>
      </c>
      <c r="E75" s="144">
        <v>149222.54999999999</v>
      </c>
      <c r="F75" s="145">
        <f t="shared" si="38"/>
        <v>731773.61999999988</v>
      </c>
      <c r="G75" s="144"/>
      <c r="H75" s="144"/>
      <c r="I75" s="145"/>
      <c r="J75" s="144">
        <v>125097.74</v>
      </c>
      <c r="K75" s="144">
        <v>32897.81</v>
      </c>
      <c r="L75" s="145">
        <f t="shared" si="39"/>
        <v>157995.54999999999</v>
      </c>
      <c r="M75" s="146">
        <v>58263.78</v>
      </c>
      <c r="N75" s="146">
        <v>10343.68</v>
      </c>
      <c r="O75" s="145">
        <f t="shared" si="40"/>
        <v>68607.459999999992</v>
      </c>
      <c r="P75" s="144">
        <v>361773.97</v>
      </c>
      <c r="Q75" s="144">
        <v>64226.71</v>
      </c>
      <c r="R75" s="147">
        <f t="shared" si="41"/>
        <v>426000.68</v>
      </c>
      <c r="S75" s="117">
        <v>0</v>
      </c>
      <c r="T75" s="117">
        <v>0</v>
      </c>
      <c r="U75" s="146">
        <v>0</v>
      </c>
      <c r="V75" s="146">
        <v>0</v>
      </c>
      <c r="W75" s="4"/>
      <c r="X75" s="4"/>
      <c r="Y75" s="4"/>
      <c r="Z75" s="4"/>
      <c r="AA75" s="4"/>
      <c r="AB75" s="4"/>
      <c r="AC75" s="4"/>
      <c r="AD75" s="4"/>
      <c r="AE75" s="4"/>
      <c r="AF75" s="118">
        <f t="shared" si="42"/>
        <v>157995.54999999999</v>
      </c>
      <c r="AG75" s="112">
        <f t="shared" si="42"/>
        <v>58263.78</v>
      </c>
      <c r="AH75" s="112">
        <f t="shared" si="42"/>
        <v>10343.68</v>
      </c>
      <c r="AI75" s="10">
        <f t="shared" si="43"/>
        <v>39429.63484816</v>
      </c>
      <c r="AJ75" s="10">
        <f t="shared" si="44"/>
        <v>15332.771116380001</v>
      </c>
      <c r="AK75" s="10">
        <f t="shared" si="45"/>
        <v>127.81569798</v>
      </c>
      <c r="AL75" s="10">
        <f t="shared" si="46"/>
        <v>13717.238337480001</v>
      </c>
      <c r="AM75" s="10">
        <f t="shared" si="47"/>
        <v>0</v>
      </c>
      <c r="AN75" s="9">
        <f t="shared" si="48"/>
        <v>0</v>
      </c>
      <c r="AO75" s="10">
        <f t="shared" si="49"/>
        <v>0</v>
      </c>
      <c r="AP75" s="66">
        <f t="shared" si="50"/>
        <v>490482.57324971067</v>
      </c>
      <c r="AQ75" s="66">
        <f t="shared" si="51"/>
        <v>169581.96568859744</v>
      </c>
      <c r="AR75" s="66">
        <f t="shared" si="52"/>
        <v>1579.9562020676779</v>
      </c>
      <c r="AS75" s="66">
        <f t="shared" si="53"/>
        <v>39498.905051691952</v>
      </c>
      <c r="AT75" s="66"/>
      <c r="AU75" s="4"/>
      <c r="AV75" s="4"/>
      <c r="AW75" s="4"/>
      <c r="AX75" s="4"/>
      <c r="AY75" s="4"/>
      <c r="AZ75" s="4"/>
      <c r="BA75" s="4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9">
        <f t="shared" si="37"/>
        <v>927746.41019206773</v>
      </c>
      <c r="BN75" s="9">
        <f t="shared" si="66"/>
        <v>713211.4121239481</v>
      </c>
      <c r="BO75" s="9">
        <f t="shared" si="54"/>
        <v>212827.22616807194</v>
      </c>
      <c r="BP75" s="9">
        <f t="shared" si="55"/>
        <v>1707.7719000476779</v>
      </c>
      <c r="BQ75" s="10">
        <f t="shared" si="56"/>
        <v>0</v>
      </c>
      <c r="BR75" s="9">
        <f t="shared" si="57"/>
        <v>927746.41019206773</v>
      </c>
      <c r="BS75" s="142">
        <f t="shared" si="67"/>
        <v>660064.53893830813</v>
      </c>
      <c r="BT75" s="83">
        <f t="shared" si="58"/>
        <v>660065</v>
      </c>
      <c r="BU75" s="175">
        <f t="shared" si="59"/>
        <v>6.4450257662418766E-4</v>
      </c>
      <c r="BV75" s="173">
        <f t="shared" si="60"/>
        <v>157995.54999999999</v>
      </c>
      <c r="BW75" s="176">
        <f t="shared" si="61"/>
        <v>9.2116569224547724E-4</v>
      </c>
      <c r="BX75" s="177">
        <f t="shared" si="62"/>
        <v>0</v>
      </c>
      <c r="BY75" s="178">
        <f t="shared" si="63"/>
        <v>0</v>
      </c>
      <c r="BZ75" s="4"/>
      <c r="CA75" s="4"/>
      <c r="CB75" s="4"/>
      <c r="CC75" s="4"/>
      <c r="CD75" s="4"/>
      <c r="CE75" s="4"/>
      <c r="CF75" s="4"/>
      <c r="CG75" s="126">
        <f t="shared" si="64"/>
        <v>518304.27844169998</v>
      </c>
      <c r="CH75" s="126">
        <f t="shared" si="65"/>
        <v>213469.34155829996</v>
      </c>
      <c r="CI75" s="126"/>
      <c r="CJ75" s="126"/>
      <c r="CK75" s="9"/>
      <c r="CL75" s="9"/>
      <c r="CM75" s="127"/>
      <c r="CN75" s="9"/>
      <c r="CO75" s="9"/>
      <c r="CP75" s="9"/>
      <c r="CQ75" s="126"/>
      <c r="CR75" s="126"/>
      <c r="CS75" s="126"/>
      <c r="CT75" s="126"/>
      <c r="CU75" s="126"/>
      <c r="CV75" s="9"/>
      <c r="CW75" s="9"/>
      <c r="CX75" s="127"/>
      <c r="CY75" s="67"/>
      <c r="CZ75" s="67"/>
    </row>
    <row r="76" spans="1:104" x14ac:dyDescent="0.35">
      <c r="A76" s="143">
        <v>71</v>
      </c>
      <c r="B76" s="116" t="s">
        <v>524</v>
      </c>
      <c r="C76" s="144">
        <v>15110548.580318943</v>
      </c>
      <c r="D76" s="144">
        <v>1357735.97</v>
      </c>
      <c r="E76" s="144">
        <v>584725.05000000005</v>
      </c>
      <c r="F76" s="145">
        <f t="shared" si="38"/>
        <v>1942461.02</v>
      </c>
      <c r="G76" s="144"/>
      <c r="H76" s="144"/>
      <c r="I76" s="145"/>
      <c r="J76" s="144">
        <v>307908.02</v>
      </c>
      <c r="K76" s="144">
        <v>129720.67</v>
      </c>
      <c r="L76" s="145">
        <f t="shared" si="39"/>
        <v>437628.69</v>
      </c>
      <c r="M76" s="146">
        <v>48041.03</v>
      </c>
      <c r="N76" s="146">
        <v>36171.78</v>
      </c>
      <c r="O76" s="145">
        <f t="shared" si="40"/>
        <v>84212.81</v>
      </c>
      <c r="P76" s="144">
        <v>298298.94</v>
      </c>
      <c r="Q76" s="144">
        <v>224599.1</v>
      </c>
      <c r="R76" s="147">
        <f t="shared" si="41"/>
        <v>522898.04000000004</v>
      </c>
      <c r="S76" s="117">
        <v>0</v>
      </c>
      <c r="T76" s="117">
        <v>0</v>
      </c>
      <c r="U76" s="146">
        <v>0</v>
      </c>
      <c r="V76" s="146">
        <v>1536.55</v>
      </c>
      <c r="W76" s="4"/>
      <c r="X76" s="4"/>
      <c r="Y76" s="4"/>
      <c r="Z76" s="4"/>
      <c r="AA76" s="4"/>
      <c r="AB76" s="4"/>
      <c r="AC76" s="4"/>
      <c r="AD76" s="4"/>
      <c r="AE76" s="4"/>
      <c r="AF76" s="118">
        <f t="shared" si="42"/>
        <v>437628.69</v>
      </c>
      <c r="AG76" s="112">
        <f t="shared" si="42"/>
        <v>48041.03</v>
      </c>
      <c r="AH76" s="112">
        <f t="shared" si="42"/>
        <v>36171.78</v>
      </c>
      <c r="AI76" s="10">
        <f t="shared" si="43"/>
        <v>49855.894894659999</v>
      </c>
      <c r="AJ76" s="10">
        <f t="shared" si="44"/>
        <v>17362.685834529999</v>
      </c>
      <c r="AK76" s="10">
        <f t="shared" si="45"/>
        <v>156.88846502999999</v>
      </c>
      <c r="AL76" s="10">
        <f t="shared" si="46"/>
        <v>16837.340805780001</v>
      </c>
      <c r="AM76" s="10">
        <f t="shared" si="47"/>
        <v>0</v>
      </c>
      <c r="AN76" s="9">
        <f t="shared" si="48"/>
        <v>0</v>
      </c>
      <c r="AO76" s="10">
        <f t="shared" si="49"/>
        <v>0</v>
      </c>
      <c r="AP76" s="66">
        <f t="shared" si="50"/>
        <v>1371445.786728712</v>
      </c>
      <c r="AQ76" s="66">
        <f t="shared" si="51"/>
        <v>469722.34739827004</v>
      </c>
      <c r="AR76" s="66">
        <f t="shared" si="52"/>
        <v>4376.2951620956828</v>
      </c>
      <c r="AS76" s="66">
        <f t="shared" si="53"/>
        <v>109407.37905239208</v>
      </c>
      <c r="AT76" s="66"/>
      <c r="AU76" s="4"/>
      <c r="AV76" s="4"/>
      <c r="AW76" s="4"/>
      <c r="AX76" s="4"/>
      <c r="AY76" s="4"/>
      <c r="AZ76" s="4"/>
      <c r="BA76" s="4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9">
        <f t="shared" si="37"/>
        <v>2476793.3083414701</v>
      </c>
      <c r="BN76" s="9">
        <f t="shared" si="66"/>
        <v>1907861.3698274218</v>
      </c>
      <c r="BO76" s="9">
        <f t="shared" si="54"/>
        <v>564398.75488692208</v>
      </c>
      <c r="BP76" s="9">
        <f t="shared" si="55"/>
        <v>4533.1836271256825</v>
      </c>
      <c r="BQ76" s="10">
        <f t="shared" si="56"/>
        <v>0</v>
      </c>
      <c r="BR76" s="9">
        <f t="shared" si="57"/>
        <v>2476793.3083414696</v>
      </c>
      <c r="BS76" s="142">
        <f t="shared" si="67"/>
        <v>1841168.1341269822</v>
      </c>
      <c r="BT76" s="83">
        <f t="shared" si="58"/>
        <v>1841168</v>
      </c>
      <c r="BU76" s="175">
        <f t="shared" si="59"/>
        <v>1.7977599710959403E-3</v>
      </c>
      <c r="BV76" s="173">
        <f t="shared" si="60"/>
        <v>437628.69</v>
      </c>
      <c r="BW76" s="176">
        <f t="shared" si="61"/>
        <v>2.5515182875108281E-3</v>
      </c>
      <c r="BX76" s="177">
        <f t="shared" si="62"/>
        <v>0</v>
      </c>
      <c r="BY76" s="178">
        <f t="shared" si="63"/>
        <v>0</v>
      </c>
      <c r="BZ76" s="4"/>
      <c r="CA76" s="4"/>
      <c r="CB76" s="4"/>
      <c r="CC76" s="4"/>
      <c r="CD76" s="4"/>
      <c r="CE76" s="4"/>
      <c r="CF76" s="4"/>
      <c r="CG76" s="126">
        <f t="shared" si="64"/>
        <v>1375816.0035507001</v>
      </c>
      <c r="CH76" s="126">
        <f t="shared" si="65"/>
        <v>566645.01644929999</v>
      </c>
      <c r="CI76" s="126"/>
      <c r="CJ76" s="126"/>
      <c r="CK76" s="9"/>
      <c r="CL76" s="9"/>
      <c r="CM76" s="127"/>
      <c r="CN76" s="9"/>
      <c r="CO76" s="9"/>
      <c r="CP76" s="9"/>
      <c r="CQ76" s="126"/>
      <c r="CR76" s="126"/>
      <c r="CS76" s="126"/>
      <c r="CT76" s="126"/>
      <c r="CU76" s="126"/>
      <c r="CV76" s="9"/>
      <c r="CW76" s="9"/>
      <c r="CX76" s="127"/>
      <c r="CY76" s="67"/>
      <c r="CZ76" s="67"/>
    </row>
    <row r="77" spans="1:104" x14ac:dyDescent="0.35">
      <c r="A77" s="143">
        <v>72</v>
      </c>
      <c r="B77" s="116" t="s">
        <v>525</v>
      </c>
      <c r="C77" s="144">
        <v>3607119.4865810969</v>
      </c>
      <c r="D77" s="144">
        <v>365647.52</v>
      </c>
      <c r="E77" s="144">
        <v>98047.69</v>
      </c>
      <c r="F77" s="145">
        <f t="shared" si="38"/>
        <v>463695.21</v>
      </c>
      <c r="G77" s="144"/>
      <c r="H77" s="144"/>
      <c r="I77" s="145"/>
      <c r="J77" s="144">
        <v>77691.98</v>
      </c>
      <c r="K77" s="144">
        <v>21405.86</v>
      </c>
      <c r="L77" s="145">
        <f t="shared" si="39"/>
        <v>99097.84</v>
      </c>
      <c r="M77" s="146">
        <v>41016.79</v>
      </c>
      <c r="N77" s="146">
        <v>7922.4</v>
      </c>
      <c r="O77" s="145">
        <f t="shared" si="40"/>
        <v>48939.19</v>
      </c>
      <c r="P77" s="144">
        <v>254682.45</v>
      </c>
      <c r="Q77" s="144">
        <v>49191.25</v>
      </c>
      <c r="R77" s="147">
        <f t="shared" si="41"/>
        <v>303873.7</v>
      </c>
      <c r="S77" s="117">
        <v>0</v>
      </c>
      <c r="T77" s="117">
        <v>0</v>
      </c>
      <c r="U77" s="146">
        <v>0</v>
      </c>
      <c r="V77" s="146">
        <v>0</v>
      </c>
      <c r="W77" s="4"/>
      <c r="X77" s="4"/>
      <c r="Y77" s="4"/>
      <c r="Z77" s="4"/>
      <c r="AA77" s="4"/>
      <c r="AB77" s="4"/>
      <c r="AC77" s="4"/>
      <c r="AD77" s="4"/>
      <c r="AE77" s="4"/>
      <c r="AF77" s="118">
        <f t="shared" si="42"/>
        <v>99097.84</v>
      </c>
      <c r="AG77" s="112">
        <f t="shared" si="42"/>
        <v>41016.79</v>
      </c>
      <c r="AH77" s="112">
        <f t="shared" si="42"/>
        <v>7922.4</v>
      </c>
      <c r="AI77" s="10">
        <f t="shared" si="43"/>
        <v>28159.794528079998</v>
      </c>
      <c r="AJ77" s="10">
        <f t="shared" si="44"/>
        <v>10903.41799073</v>
      </c>
      <c r="AK77" s="10">
        <f t="shared" si="45"/>
        <v>91.173710970000002</v>
      </c>
      <c r="AL77" s="10">
        <f t="shared" si="46"/>
        <v>9784.8037702200018</v>
      </c>
      <c r="AM77" s="10">
        <f t="shared" si="47"/>
        <v>0</v>
      </c>
      <c r="AN77" s="9">
        <f t="shared" si="48"/>
        <v>0</v>
      </c>
      <c r="AO77" s="10">
        <f t="shared" si="49"/>
        <v>0</v>
      </c>
      <c r="AP77" s="66">
        <f t="shared" si="50"/>
        <v>307895.81901309418</v>
      </c>
      <c r="AQ77" s="66">
        <f t="shared" si="51"/>
        <v>106364.51432791131</v>
      </c>
      <c r="AR77" s="66">
        <f t="shared" si="52"/>
        <v>990.97373597432897</v>
      </c>
      <c r="AS77" s="66">
        <f t="shared" si="53"/>
        <v>24774.343399358226</v>
      </c>
      <c r="AT77" s="66"/>
      <c r="AU77" s="4"/>
      <c r="AV77" s="4"/>
      <c r="AW77" s="4"/>
      <c r="AX77" s="4"/>
      <c r="AY77" s="4"/>
      <c r="AZ77" s="4"/>
      <c r="BA77" s="4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9">
        <f t="shared" si="37"/>
        <v>588062.68047633802</v>
      </c>
      <c r="BN77" s="9">
        <f t="shared" si="66"/>
        <v>452204.93163930549</v>
      </c>
      <c r="BO77" s="9">
        <f t="shared" si="54"/>
        <v>134775.60139008821</v>
      </c>
      <c r="BP77" s="9">
        <f t="shared" si="55"/>
        <v>1082.147446944329</v>
      </c>
      <c r="BQ77" s="10">
        <f t="shared" si="56"/>
        <v>0</v>
      </c>
      <c r="BR77" s="9">
        <f t="shared" si="57"/>
        <v>588062.68047633814</v>
      </c>
      <c r="BS77" s="142">
        <f t="shared" si="67"/>
        <v>414260.33334100549</v>
      </c>
      <c r="BT77" s="83">
        <f t="shared" si="58"/>
        <v>414260</v>
      </c>
      <c r="BU77" s="175">
        <f t="shared" si="59"/>
        <v>4.0449355552552545E-4</v>
      </c>
      <c r="BV77" s="173">
        <f t="shared" si="60"/>
        <v>99097.84</v>
      </c>
      <c r="BW77" s="176">
        <f t="shared" si="61"/>
        <v>5.7777279413016099E-4</v>
      </c>
      <c r="BX77" s="177">
        <f t="shared" si="62"/>
        <v>0</v>
      </c>
      <c r="BY77" s="178">
        <f t="shared" si="63"/>
        <v>0</v>
      </c>
      <c r="BZ77" s="4"/>
      <c r="CA77" s="4"/>
      <c r="CB77" s="4"/>
      <c r="CC77" s="4"/>
      <c r="CD77" s="4"/>
      <c r="CE77" s="4"/>
      <c r="CF77" s="4"/>
      <c r="CG77" s="126">
        <f t="shared" si="64"/>
        <v>328428.36181485001</v>
      </c>
      <c r="CH77" s="126">
        <f t="shared" si="65"/>
        <v>135266.84818515001</v>
      </c>
      <c r="CI77" s="126"/>
      <c r="CJ77" s="126"/>
      <c r="CK77" s="9"/>
      <c r="CL77" s="9"/>
      <c r="CM77" s="127"/>
      <c r="CN77" s="9"/>
      <c r="CO77" s="9"/>
      <c r="CP77" s="9"/>
      <c r="CQ77" s="126"/>
      <c r="CR77" s="126"/>
      <c r="CS77" s="126"/>
      <c r="CT77" s="126"/>
      <c r="CU77" s="126"/>
      <c r="CV77" s="9"/>
      <c r="CW77" s="9"/>
      <c r="CX77" s="127"/>
      <c r="CY77" s="67"/>
      <c r="CZ77" s="67"/>
    </row>
    <row r="78" spans="1:104" x14ac:dyDescent="0.35">
      <c r="A78" s="143">
        <v>73</v>
      </c>
      <c r="B78" s="116" t="s">
        <v>526</v>
      </c>
      <c r="C78" s="144">
        <v>46692143.446129911</v>
      </c>
      <c r="D78" s="144">
        <v>4675643.6900000004</v>
      </c>
      <c r="E78" s="144">
        <v>1326631.3500000001</v>
      </c>
      <c r="F78" s="145">
        <f t="shared" si="38"/>
        <v>6002275.040000001</v>
      </c>
      <c r="G78" s="144"/>
      <c r="H78" s="144"/>
      <c r="I78" s="145"/>
      <c r="J78" s="144">
        <v>1030078.06</v>
      </c>
      <c r="K78" s="144">
        <v>264908</v>
      </c>
      <c r="L78" s="145">
        <f t="shared" si="39"/>
        <v>1294986.06</v>
      </c>
      <c r="M78" s="146">
        <v>328027.18</v>
      </c>
      <c r="N78" s="146">
        <v>239926.79</v>
      </c>
      <c r="O78" s="145">
        <f t="shared" si="40"/>
        <v>567953.97</v>
      </c>
      <c r="P78" s="144">
        <v>2036808.93</v>
      </c>
      <c r="Q78" s="144">
        <v>1489763.71</v>
      </c>
      <c r="R78" s="147">
        <f t="shared" si="41"/>
        <v>3526572.6399999997</v>
      </c>
      <c r="S78" s="117">
        <v>11776.74</v>
      </c>
      <c r="T78" s="117">
        <v>0</v>
      </c>
      <c r="U78" s="146">
        <v>0</v>
      </c>
      <c r="V78" s="146">
        <v>0</v>
      </c>
      <c r="W78" s="4"/>
      <c r="X78" s="4"/>
      <c r="Y78" s="4"/>
      <c r="Z78" s="4"/>
      <c r="AA78" s="4"/>
      <c r="AB78" s="4"/>
      <c r="AC78" s="4"/>
      <c r="AD78" s="4"/>
      <c r="AE78" s="4"/>
      <c r="AF78" s="118">
        <f t="shared" si="42"/>
        <v>1294986.06</v>
      </c>
      <c r="AG78" s="112">
        <f t="shared" si="42"/>
        <v>328027.18</v>
      </c>
      <c r="AH78" s="112">
        <f t="shared" si="42"/>
        <v>239926.79</v>
      </c>
      <c r="AI78" s="10">
        <f t="shared" si="43"/>
        <v>335991.68701891002</v>
      </c>
      <c r="AJ78" s="10">
        <f t="shared" si="44"/>
        <v>117348.60388112</v>
      </c>
      <c r="AK78" s="10">
        <f t="shared" si="45"/>
        <v>1058.0982461100002</v>
      </c>
      <c r="AL78" s="10">
        <f t="shared" si="46"/>
        <v>113555.58085386001</v>
      </c>
      <c r="AM78" s="10">
        <f t="shared" si="47"/>
        <v>11776.74</v>
      </c>
      <c r="AN78" s="9">
        <f t="shared" si="48"/>
        <v>0</v>
      </c>
      <c r="AO78" s="10">
        <f t="shared" si="49"/>
        <v>0</v>
      </c>
      <c r="AP78" s="66">
        <f t="shared" si="50"/>
        <v>4018527.2230711742</v>
      </c>
      <c r="AQ78" s="66">
        <f t="shared" si="51"/>
        <v>1389931.3799573833</v>
      </c>
      <c r="AR78" s="66">
        <f t="shared" si="52"/>
        <v>12949.671241838972</v>
      </c>
      <c r="AS78" s="66">
        <f t="shared" si="53"/>
        <v>323741.78104597435</v>
      </c>
      <c r="AT78" s="66"/>
      <c r="AU78" s="4"/>
      <c r="AV78" s="4"/>
      <c r="AW78" s="4"/>
      <c r="AX78" s="4"/>
      <c r="AY78" s="4"/>
      <c r="AZ78" s="4"/>
      <c r="BA78" s="4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9">
        <f t="shared" si="37"/>
        <v>7619866.8253163714</v>
      </c>
      <c r="BN78" s="9">
        <f t="shared" si="66"/>
        <v>5869782.6109013278</v>
      </c>
      <c r="BO78" s="9">
        <f t="shared" si="54"/>
        <v>1736076.4449270945</v>
      </c>
      <c r="BP78" s="9">
        <f t="shared" si="55"/>
        <v>14007.769487948972</v>
      </c>
      <c r="BQ78" s="10">
        <f t="shared" si="56"/>
        <v>0</v>
      </c>
      <c r="BR78" s="9">
        <f t="shared" si="57"/>
        <v>7619866.8253163714</v>
      </c>
      <c r="BS78" s="142">
        <f t="shared" si="67"/>
        <v>5408458.6030285573</v>
      </c>
      <c r="BT78" s="83">
        <f t="shared" si="58"/>
        <v>5408459</v>
      </c>
      <c r="BU78" s="175">
        <f t="shared" si="59"/>
        <v>5.2809464826331946E-3</v>
      </c>
      <c r="BV78" s="173">
        <f t="shared" si="60"/>
        <v>1294986.06</v>
      </c>
      <c r="BW78" s="176">
        <f t="shared" si="61"/>
        <v>7.5501919541920218E-3</v>
      </c>
      <c r="BX78" s="177">
        <f t="shared" si="62"/>
        <v>0</v>
      </c>
      <c r="BY78" s="178">
        <f t="shared" si="63"/>
        <v>0</v>
      </c>
      <c r="BZ78" s="4"/>
      <c r="CA78" s="4"/>
      <c r="CB78" s="4"/>
      <c r="CC78" s="4"/>
      <c r="CD78" s="4"/>
      <c r="CE78" s="4"/>
      <c r="CF78" s="4"/>
      <c r="CG78" s="126">
        <f t="shared" si="64"/>
        <v>4251321.3767064009</v>
      </c>
      <c r="CH78" s="126">
        <f t="shared" si="65"/>
        <v>1750953.6632936001</v>
      </c>
      <c r="CI78" s="126"/>
      <c r="CJ78" s="126"/>
      <c r="CK78" s="9"/>
      <c r="CL78" s="9"/>
      <c r="CM78" s="127"/>
      <c r="CN78" s="9"/>
      <c r="CO78" s="9"/>
      <c r="CP78" s="9"/>
      <c r="CQ78" s="126"/>
      <c r="CR78" s="126"/>
      <c r="CS78" s="126"/>
      <c r="CT78" s="126"/>
      <c r="CU78" s="126"/>
      <c r="CV78" s="9"/>
      <c r="CW78" s="9"/>
      <c r="CX78" s="127"/>
      <c r="CY78" s="67"/>
      <c r="CZ78" s="67"/>
    </row>
    <row r="79" spans="1:104" x14ac:dyDescent="0.35">
      <c r="A79" s="143">
        <v>74</v>
      </c>
      <c r="B79" s="116" t="s">
        <v>527</v>
      </c>
      <c r="C79" s="144">
        <v>9674167.4056787249</v>
      </c>
      <c r="D79" s="144">
        <v>1041511.69</v>
      </c>
      <c r="E79" s="144">
        <v>202102.53</v>
      </c>
      <c r="F79" s="145">
        <f t="shared" si="38"/>
        <v>1243614.22</v>
      </c>
      <c r="G79" s="144"/>
      <c r="H79" s="144"/>
      <c r="I79" s="145"/>
      <c r="J79" s="144">
        <v>209460.75</v>
      </c>
      <c r="K79" s="144">
        <v>32184.51</v>
      </c>
      <c r="L79" s="145">
        <f t="shared" si="39"/>
        <v>241645.26</v>
      </c>
      <c r="M79" s="146">
        <v>180375.53</v>
      </c>
      <c r="N79" s="146">
        <v>80419.34</v>
      </c>
      <c r="O79" s="145">
        <f t="shared" si="40"/>
        <v>260794.87</v>
      </c>
      <c r="P79" s="144">
        <v>1119996.57</v>
      </c>
      <c r="Q79" s="144">
        <v>499345.29</v>
      </c>
      <c r="R79" s="147">
        <f t="shared" si="41"/>
        <v>1619341.86</v>
      </c>
      <c r="S79" s="117">
        <v>0</v>
      </c>
      <c r="T79" s="117">
        <v>0</v>
      </c>
      <c r="U79" s="146">
        <v>0</v>
      </c>
      <c r="V79" s="146">
        <v>0</v>
      </c>
      <c r="W79" s="4"/>
      <c r="X79" s="4"/>
      <c r="Y79" s="4"/>
      <c r="Z79" s="4"/>
      <c r="AA79" s="4"/>
      <c r="AB79" s="4"/>
      <c r="AC79" s="4"/>
      <c r="AD79" s="4"/>
      <c r="AE79" s="4"/>
      <c r="AF79" s="118">
        <f t="shared" si="42"/>
        <v>241645.26</v>
      </c>
      <c r="AG79" s="112">
        <f t="shared" si="42"/>
        <v>180375.53</v>
      </c>
      <c r="AH79" s="112">
        <f t="shared" si="42"/>
        <v>80419.34</v>
      </c>
      <c r="AI79" s="10">
        <f t="shared" si="43"/>
        <v>152434.37942285999</v>
      </c>
      <c r="AJ79" s="10">
        <f t="shared" si="44"/>
        <v>55731.825016269999</v>
      </c>
      <c r="AK79" s="10">
        <f t="shared" si="45"/>
        <v>485.86084281000001</v>
      </c>
      <c r="AL79" s="10">
        <f t="shared" si="46"/>
        <v>52142.804718059997</v>
      </c>
      <c r="AM79" s="10">
        <f t="shared" si="47"/>
        <v>0</v>
      </c>
      <c r="AN79" s="9">
        <f t="shared" si="48"/>
        <v>0</v>
      </c>
      <c r="AO79" s="10">
        <f t="shared" si="49"/>
        <v>0</v>
      </c>
      <c r="AP79" s="66">
        <f t="shared" si="50"/>
        <v>744120.11898503965</v>
      </c>
      <c r="AQ79" s="66">
        <f t="shared" si="51"/>
        <v>259365.38257085491</v>
      </c>
      <c r="AR79" s="66">
        <f t="shared" si="52"/>
        <v>2416.4476637036169</v>
      </c>
      <c r="AS79" s="66">
        <f t="shared" si="53"/>
        <v>60411.191592590425</v>
      </c>
      <c r="AT79" s="66"/>
      <c r="AU79" s="4"/>
      <c r="AV79" s="4"/>
      <c r="AW79" s="4"/>
      <c r="AX79" s="4"/>
      <c r="AY79" s="4"/>
      <c r="AZ79" s="4"/>
      <c r="BA79" s="4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9">
        <f t="shared" si="37"/>
        <v>1568753.2708121887</v>
      </c>
      <c r="BN79" s="9">
        <f t="shared" si="66"/>
        <v>1208062.6856968144</v>
      </c>
      <c r="BO79" s="9">
        <f t="shared" si="54"/>
        <v>357788.27660886041</v>
      </c>
      <c r="BP79" s="9">
        <f t="shared" si="55"/>
        <v>2902.308506513617</v>
      </c>
      <c r="BQ79" s="10">
        <f t="shared" si="56"/>
        <v>0</v>
      </c>
      <c r="BR79" s="9">
        <f t="shared" si="57"/>
        <v>1568753.2708121885</v>
      </c>
      <c r="BS79" s="142">
        <f t="shared" si="67"/>
        <v>1003485.5015558945</v>
      </c>
      <c r="BT79" s="83">
        <f t="shared" si="58"/>
        <v>1003486</v>
      </c>
      <c r="BU79" s="175">
        <f t="shared" si="59"/>
        <v>9.7982690056045655E-4</v>
      </c>
      <c r="BV79" s="173">
        <f t="shared" si="60"/>
        <v>241645.26</v>
      </c>
      <c r="BW79" s="176">
        <f t="shared" si="61"/>
        <v>1.408870839753008E-3</v>
      </c>
      <c r="BX79" s="177">
        <f t="shared" si="62"/>
        <v>0</v>
      </c>
      <c r="BY79" s="178">
        <f t="shared" si="63"/>
        <v>0</v>
      </c>
      <c r="BZ79" s="4"/>
      <c r="CA79" s="4"/>
      <c r="CB79" s="4"/>
      <c r="CC79" s="4"/>
      <c r="CD79" s="4"/>
      <c r="CE79" s="4"/>
      <c r="CF79" s="4"/>
      <c r="CG79" s="126">
        <f t="shared" si="64"/>
        <v>880833.29781270004</v>
      </c>
      <c r="CH79" s="126">
        <f t="shared" si="65"/>
        <v>362780.92218729999</v>
      </c>
      <c r="CI79" s="126"/>
      <c r="CJ79" s="126"/>
      <c r="CK79" s="9"/>
      <c r="CL79" s="9"/>
      <c r="CM79" s="127"/>
      <c r="CN79" s="9"/>
      <c r="CO79" s="9"/>
      <c r="CP79" s="9"/>
      <c r="CQ79" s="126"/>
      <c r="CR79" s="126"/>
      <c r="CS79" s="126"/>
      <c r="CT79" s="126"/>
      <c r="CU79" s="126"/>
      <c r="CV79" s="9"/>
      <c r="CW79" s="9"/>
      <c r="CX79" s="127"/>
      <c r="CY79" s="67"/>
      <c r="CZ79" s="67"/>
    </row>
    <row r="80" spans="1:104" x14ac:dyDescent="0.35">
      <c r="A80" s="143">
        <v>75</v>
      </c>
      <c r="B80" s="116" t="s">
        <v>528</v>
      </c>
      <c r="C80" s="144">
        <v>15123587.786853364</v>
      </c>
      <c r="D80" s="144">
        <v>1542502.31</v>
      </c>
      <c r="E80" s="144">
        <v>401634.9</v>
      </c>
      <c r="F80" s="145">
        <f t="shared" si="38"/>
        <v>1944137.21</v>
      </c>
      <c r="G80" s="144"/>
      <c r="H80" s="144"/>
      <c r="I80" s="145"/>
      <c r="J80" s="144">
        <v>350180.65</v>
      </c>
      <c r="K80" s="144">
        <v>84555.95</v>
      </c>
      <c r="L80" s="145">
        <f t="shared" si="39"/>
        <v>434736.60000000003</v>
      </c>
      <c r="M80" s="146">
        <v>52600.71</v>
      </c>
      <c r="N80" s="146">
        <v>49246.74</v>
      </c>
      <c r="O80" s="145">
        <f t="shared" si="40"/>
        <v>101847.45</v>
      </c>
      <c r="P80" s="144">
        <v>326612.18</v>
      </c>
      <c r="Q80" s="144">
        <v>305785.82</v>
      </c>
      <c r="R80" s="147">
        <f t="shared" si="41"/>
        <v>632398</v>
      </c>
      <c r="S80" s="117">
        <v>0</v>
      </c>
      <c r="T80" s="117">
        <v>0</v>
      </c>
      <c r="U80" s="146">
        <v>0</v>
      </c>
      <c r="V80" s="146">
        <v>0</v>
      </c>
      <c r="W80" s="4"/>
      <c r="X80" s="4"/>
      <c r="Y80" s="4"/>
      <c r="Z80" s="4"/>
      <c r="AA80" s="4"/>
      <c r="AB80" s="4"/>
      <c r="AC80" s="4"/>
      <c r="AD80" s="4"/>
      <c r="AE80" s="4"/>
      <c r="AF80" s="118">
        <f t="shared" si="42"/>
        <v>434736.60000000003</v>
      </c>
      <c r="AG80" s="112">
        <f t="shared" si="42"/>
        <v>52600.71</v>
      </c>
      <c r="AH80" s="112">
        <f t="shared" si="42"/>
        <v>49246.74</v>
      </c>
      <c r="AI80" s="10">
        <f t="shared" si="43"/>
        <v>60637.537379219997</v>
      </c>
      <c r="AJ80" s="10">
        <f t="shared" si="44"/>
        <v>20656.995363329999</v>
      </c>
      <c r="AK80" s="10">
        <f t="shared" si="45"/>
        <v>189.74179935000001</v>
      </c>
      <c r="AL80" s="10">
        <f t="shared" si="46"/>
        <v>20363.175458099999</v>
      </c>
      <c r="AM80" s="10">
        <f t="shared" si="47"/>
        <v>0</v>
      </c>
      <c r="AN80" s="9">
        <f t="shared" si="48"/>
        <v>0</v>
      </c>
      <c r="AO80" s="10">
        <f t="shared" si="49"/>
        <v>0</v>
      </c>
      <c r="AP80" s="66">
        <f t="shared" si="50"/>
        <v>1347608.4491392067</v>
      </c>
      <c r="AQ80" s="66">
        <f t="shared" si="51"/>
        <v>466616.31113667833</v>
      </c>
      <c r="AR80" s="66">
        <f t="shared" si="52"/>
        <v>4347.3569360560095</v>
      </c>
      <c r="AS80" s="66">
        <f t="shared" si="53"/>
        <v>108683.92340140024</v>
      </c>
      <c r="AT80" s="66"/>
      <c r="AU80" s="4"/>
      <c r="AV80" s="4"/>
      <c r="AW80" s="4"/>
      <c r="AX80" s="4"/>
      <c r="AY80" s="4"/>
      <c r="AZ80" s="4"/>
      <c r="BA80" s="4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9">
        <f t="shared" si="37"/>
        <v>2463840.090613341</v>
      </c>
      <c r="BN80" s="9">
        <f t="shared" si="66"/>
        <v>1895225.4731132051</v>
      </c>
      <c r="BO80" s="9">
        <f t="shared" si="54"/>
        <v>564077.51876473031</v>
      </c>
      <c r="BP80" s="9">
        <f t="shared" si="55"/>
        <v>4537.0987354060098</v>
      </c>
      <c r="BQ80" s="10">
        <f t="shared" si="56"/>
        <v>0</v>
      </c>
      <c r="BR80" s="9">
        <f t="shared" si="57"/>
        <v>2463840.0906133414</v>
      </c>
      <c r="BS80" s="142">
        <f t="shared" si="67"/>
        <v>1814224.760275885</v>
      </c>
      <c r="BT80" s="83">
        <f t="shared" si="58"/>
        <v>1814225</v>
      </c>
      <c r="BU80" s="175">
        <f t="shared" si="59"/>
        <v>1.7714518256865353E-3</v>
      </c>
      <c r="BV80" s="173">
        <f t="shared" si="60"/>
        <v>434736.60000000003</v>
      </c>
      <c r="BW80" s="176">
        <f t="shared" si="61"/>
        <v>2.5346564576245673E-3</v>
      </c>
      <c r="BX80" s="177">
        <f t="shared" si="62"/>
        <v>0</v>
      </c>
      <c r="BY80" s="178">
        <f t="shared" si="63"/>
        <v>0</v>
      </c>
      <c r="BZ80" s="4"/>
      <c r="CA80" s="4"/>
      <c r="CB80" s="4"/>
      <c r="CC80" s="4"/>
      <c r="CD80" s="4"/>
      <c r="CE80" s="4"/>
      <c r="CF80" s="4"/>
      <c r="CG80" s="126">
        <f t="shared" si="64"/>
        <v>1377003.22378485</v>
      </c>
      <c r="CH80" s="126">
        <f t="shared" si="65"/>
        <v>567133.98621514998</v>
      </c>
      <c r="CI80" s="126"/>
      <c r="CJ80" s="126"/>
      <c r="CK80" s="9"/>
      <c r="CL80" s="9"/>
      <c r="CM80" s="127"/>
      <c r="CN80" s="9"/>
      <c r="CO80" s="9"/>
      <c r="CP80" s="9"/>
      <c r="CQ80" s="126"/>
      <c r="CR80" s="126"/>
      <c r="CS80" s="126"/>
      <c r="CT80" s="126"/>
      <c r="CU80" s="126"/>
      <c r="CV80" s="9"/>
      <c r="CW80" s="9"/>
      <c r="CX80" s="127"/>
      <c r="CY80" s="67"/>
      <c r="CZ80" s="67"/>
    </row>
    <row r="81" spans="1:104" x14ac:dyDescent="0.35">
      <c r="A81" s="143">
        <v>76</v>
      </c>
      <c r="B81" s="116" t="s">
        <v>529</v>
      </c>
      <c r="C81" s="144">
        <v>20797509.451575261</v>
      </c>
      <c r="D81" s="144">
        <v>2064120.37</v>
      </c>
      <c r="E81" s="144">
        <v>609399.47</v>
      </c>
      <c r="F81" s="145">
        <f t="shared" si="38"/>
        <v>2673519.84</v>
      </c>
      <c r="G81" s="144"/>
      <c r="H81" s="144"/>
      <c r="I81" s="145"/>
      <c r="J81" s="144">
        <v>456626.05</v>
      </c>
      <c r="K81" s="144">
        <v>127612.21</v>
      </c>
      <c r="L81" s="145">
        <f t="shared" si="39"/>
        <v>584238.26</v>
      </c>
      <c r="M81" s="146">
        <v>134652.39000000001</v>
      </c>
      <c r="N81" s="146">
        <v>78404.72</v>
      </c>
      <c r="O81" s="145">
        <f t="shared" si="40"/>
        <v>213057.11000000002</v>
      </c>
      <c r="P81" s="144">
        <v>836090.18</v>
      </c>
      <c r="Q81" s="144">
        <v>486833.4</v>
      </c>
      <c r="R81" s="147">
        <f t="shared" si="41"/>
        <v>1322923.58</v>
      </c>
      <c r="S81" s="117">
        <v>0</v>
      </c>
      <c r="T81" s="117">
        <v>0</v>
      </c>
      <c r="U81" s="146">
        <v>0</v>
      </c>
      <c r="V81" s="146">
        <v>0</v>
      </c>
      <c r="W81" s="4"/>
      <c r="X81" s="4"/>
      <c r="Y81" s="4"/>
      <c r="Z81" s="4"/>
      <c r="AA81" s="4"/>
      <c r="AB81" s="4"/>
      <c r="AC81" s="4"/>
      <c r="AD81" s="4"/>
      <c r="AE81" s="4"/>
      <c r="AF81" s="118">
        <f t="shared" si="42"/>
        <v>584238.26</v>
      </c>
      <c r="AG81" s="112">
        <f t="shared" si="42"/>
        <v>134652.39000000001</v>
      </c>
      <c r="AH81" s="112">
        <f t="shared" si="42"/>
        <v>78404.72</v>
      </c>
      <c r="AI81" s="10">
        <f t="shared" si="43"/>
        <v>125320.64753168001</v>
      </c>
      <c r="AJ81" s="10">
        <f t="shared" si="44"/>
        <v>44741.324613210003</v>
      </c>
      <c r="AK81" s="10">
        <f t="shared" si="45"/>
        <v>396.92539593000004</v>
      </c>
      <c r="AL81" s="10">
        <f t="shared" si="46"/>
        <v>42598.212459180002</v>
      </c>
      <c r="AM81" s="10">
        <f t="shared" si="47"/>
        <v>0</v>
      </c>
      <c r="AN81" s="9">
        <f t="shared" si="48"/>
        <v>0</v>
      </c>
      <c r="AO81" s="10">
        <f t="shared" si="49"/>
        <v>0</v>
      </c>
      <c r="AP81" s="66">
        <f t="shared" si="50"/>
        <v>1815698.3471020658</v>
      </c>
      <c r="AQ81" s="66">
        <f t="shared" si="51"/>
        <v>627081.66506472346</v>
      </c>
      <c r="AR81" s="66">
        <f t="shared" si="52"/>
        <v>5842.3757614725782</v>
      </c>
      <c r="AS81" s="66">
        <f t="shared" si="53"/>
        <v>146059.39403681448</v>
      </c>
      <c r="AT81" s="66"/>
      <c r="AU81" s="4"/>
      <c r="AV81" s="4"/>
      <c r="AW81" s="4"/>
      <c r="AX81" s="4"/>
      <c r="AY81" s="4"/>
      <c r="AZ81" s="4"/>
      <c r="BA81" s="4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9">
        <f t="shared" si="37"/>
        <v>3391977.1519650761</v>
      </c>
      <c r="BN81" s="9">
        <f t="shared" si="66"/>
        <v>2610698.8721576491</v>
      </c>
      <c r="BO81" s="9">
        <f t="shared" si="54"/>
        <v>775038.97865002451</v>
      </c>
      <c r="BP81" s="9">
        <f t="shared" si="55"/>
        <v>6239.3011574025786</v>
      </c>
      <c r="BQ81" s="10">
        <f t="shared" si="56"/>
        <v>0</v>
      </c>
      <c r="BR81" s="9">
        <f t="shared" si="57"/>
        <v>3391977.1519650766</v>
      </c>
      <c r="BS81" s="142">
        <f t="shared" si="67"/>
        <v>2442780.0121667893</v>
      </c>
      <c r="BT81" s="83">
        <f t="shared" si="58"/>
        <v>2442780</v>
      </c>
      <c r="BU81" s="175">
        <f t="shared" si="59"/>
        <v>2.3851879916165393E-3</v>
      </c>
      <c r="BV81" s="173">
        <f t="shared" si="60"/>
        <v>584238.26</v>
      </c>
      <c r="BW81" s="176">
        <f t="shared" si="61"/>
        <v>3.4062999952162777E-3</v>
      </c>
      <c r="BX81" s="177">
        <f t="shared" si="62"/>
        <v>0</v>
      </c>
      <c r="BY81" s="178">
        <f t="shared" si="63"/>
        <v>0</v>
      </c>
      <c r="BZ81" s="4"/>
      <c r="CA81" s="4"/>
      <c r="CB81" s="4"/>
      <c r="CC81" s="4"/>
      <c r="CD81" s="4"/>
      <c r="CE81" s="4"/>
      <c r="CF81" s="4"/>
      <c r="CG81" s="126">
        <f t="shared" si="64"/>
        <v>1893613.9998744002</v>
      </c>
      <c r="CH81" s="126">
        <f t="shared" si="65"/>
        <v>779905.84012560011</v>
      </c>
      <c r="CI81" s="126"/>
      <c r="CJ81" s="126"/>
      <c r="CK81" s="9"/>
      <c r="CL81" s="9"/>
      <c r="CM81" s="127"/>
      <c r="CN81" s="9"/>
      <c r="CO81" s="9"/>
      <c r="CP81" s="9"/>
      <c r="CQ81" s="126"/>
      <c r="CR81" s="126"/>
      <c r="CS81" s="126"/>
      <c r="CT81" s="126"/>
      <c r="CU81" s="126"/>
      <c r="CV81" s="9"/>
      <c r="CW81" s="9"/>
      <c r="CX81" s="127"/>
      <c r="CY81" s="67"/>
      <c r="CZ81" s="67"/>
    </row>
    <row r="82" spans="1:104" x14ac:dyDescent="0.35">
      <c r="A82" s="143">
        <v>77</v>
      </c>
      <c r="B82" s="116" t="s">
        <v>530</v>
      </c>
      <c r="C82" s="144">
        <v>8521739.323220538</v>
      </c>
      <c r="D82" s="144">
        <v>851421.01</v>
      </c>
      <c r="E82" s="144">
        <v>244048.58</v>
      </c>
      <c r="F82" s="145">
        <f t="shared" si="38"/>
        <v>1095469.5900000001</v>
      </c>
      <c r="G82" s="144"/>
      <c r="H82" s="144"/>
      <c r="I82" s="145"/>
      <c r="J82" s="144">
        <v>151378.72</v>
      </c>
      <c r="K82" s="144">
        <v>53577.23</v>
      </c>
      <c r="L82" s="145">
        <f t="shared" si="39"/>
        <v>204955.95</v>
      </c>
      <c r="M82" s="146">
        <v>254034.33</v>
      </c>
      <c r="N82" s="146">
        <v>18129.349999999999</v>
      </c>
      <c r="O82" s="145">
        <f t="shared" si="40"/>
        <v>272163.68</v>
      </c>
      <c r="P82" s="144">
        <v>1577365.26</v>
      </c>
      <c r="Q82" s="144">
        <v>112569.64</v>
      </c>
      <c r="R82" s="147">
        <f t="shared" si="41"/>
        <v>1689934.9</v>
      </c>
      <c r="S82" s="117">
        <v>0</v>
      </c>
      <c r="T82" s="117">
        <v>0</v>
      </c>
      <c r="U82" s="146">
        <v>0</v>
      </c>
      <c r="V82" s="146">
        <v>0</v>
      </c>
      <c r="W82" s="4"/>
      <c r="X82" s="4"/>
      <c r="Y82" s="4"/>
      <c r="Z82" s="4"/>
      <c r="AA82" s="4"/>
      <c r="AB82" s="4"/>
      <c r="AC82" s="4"/>
      <c r="AD82" s="4"/>
      <c r="AE82" s="4"/>
      <c r="AF82" s="118">
        <f t="shared" si="42"/>
        <v>204955.95</v>
      </c>
      <c r="AG82" s="112">
        <f t="shared" si="42"/>
        <v>254034.33</v>
      </c>
      <c r="AH82" s="112">
        <f t="shared" si="42"/>
        <v>18129.349999999999</v>
      </c>
      <c r="AI82" s="10">
        <f t="shared" si="43"/>
        <v>154993.98654491</v>
      </c>
      <c r="AJ82" s="10">
        <f t="shared" si="44"/>
        <v>62246.790667410001</v>
      </c>
      <c r="AK82" s="10">
        <f t="shared" si="45"/>
        <v>507.04093584000003</v>
      </c>
      <c r="AL82" s="10">
        <f t="shared" si="46"/>
        <v>54415.861851840004</v>
      </c>
      <c r="AM82" s="10">
        <f t="shared" si="47"/>
        <v>0</v>
      </c>
      <c r="AN82" s="9">
        <f t="shared" si="48"/>
        <v>0</v>
      </c>
      <c r="AO82" s="10">
        <f t="shared" si="49"/>
        <v>0</v>
      </c>
      <c r="AP82" s="66">
        <f t="shared" si="50"/>
        <v>639894.81667650922</v>
      </c>
      <c r="AQ82" s="66">
        <f t="shared" si="51"/>
        <v>219984.10242770129</v>
      </c>
      <c r="AR82" s="66">
        <f t="shared" si="52"/>
        <v>2049.5413269661608</v>
      </c>
      <c r="AS82" s="66">
        <f t="shared" si="53"/>
        <v>51238.533174154029</v>
      </c>
      <c r="AT82" s="66"/>
      <c r="AU82" s="4"/>
      <c r="AV82" s="4"/>
      <c r="AW82" s="4"/>
      <c r="AX82" s="4"/>
      <c r="AY82" s="4"/>
      <c r="AZ82" s="4"/>
      <c r="BA82" s="4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9">
        <f t="shared" si="37"/>
        <v>1390286.6236053307</v>
      </c>
      <c r="BN82" s="9">
        <f t="shared" si="66"/>
        <v>1069288.7675009605</v>
      </c>
      <c r="BO82" s="9">
        <f t="shared" si="54"/>
        <v>318441.27384156408</v>
      </c>
      <c r="BP82" s="9">
        <f t="shared" si="55"/>
        <v>2556.582262806161</v>
      </c>
      <c r="BQ82" s="10">
        <f t="shared" si="56"/>
        <v>0</v>
      </c>
      <c r="BR82" s="9">
        <f t="shared" si="57"/>
        <v>1390286.6236053307</v>
      </c>
      <c r="BS82" s="142">
        <f t="shared" si="67"/>
        <v>859878.91910421057</v>
      </c>
      <c r="BT82" s="83">
        <f t="shared" si="58"/>
        <v>859879</v>
      </c>
      <c r="BU82" s="175">
        <f t="shared" si="59"/>
        <v>8.3960604797659341E-4</v>
      </c>
      <c r="BV82" s="173">
        <f t="shared" si="60"/>
        <v>204955.95</v>
      </c>
      <c r="BW82" s="176">
        <f t="shared" si="61"/>
        <v>1.1949601717363525E-3</v>
      </c>
      <c r="BX82" s="177">
        <f t="shared" si="62"/>
        <v>0</v>
      </c>
      <c r="BY82" s="178">
        <f t="shared" si="63"/>
        <v>0</v>
      </c>
      <c r="BZ82" s="4"/>
      <c r="CA82" s="4"/>
      <c r="CB82" s="4"/>
      <c r="CC82" s="4"/>
      <c r="CD82" s="4"/>
      <c r="CE82" s="4"/>
      <c r="CF82" s="4"/>
      <c r="CG82" s="126">
        <f t="shared" si="64"/>
        <v>775904.67855315004</v>
      </c>
      <c r="CH82" s="126">
        <f t="shared" si="65"/>
        <v>319564.91144684999</v>
      </c>
      <c r="CI82" s="126"/>
      <c r="CJ82" s="126"/>
      <c r="CK82" s="9"/>
      <c r="CL82" s="9"/>
      <c r="CM82" s="127"/>
      <c r="CN82" s="9"/>
      <c r="CO82" s="9"/>
      <c r="CP82" s="9"/>
      <c r="CQ82" s="126"/>
      <c r="CR82" s="126"/>
      <c r="CS82" s="126"/>
      <c r="CT82" s="126"/>
      <c r="CU82" s="126"/>
      <c r="CV82" s="9"/>
      <c r="CW82" s="9"/>
      <c r="CX82" s="127"/>
      <c r="CY82" s="67"/>
      <c r="CZ82" s="67"/>
    </row>
    <row r="83" spans="1:104" x14ac:dyDescent="0.35">
      <c r="A83" s="143">
        <v>78</v>
      </c>
      <c r="B83" s="116" t="s">
        <v>531</v>
      </c>
      <c r="C83" s="144">
        <v>11772681.835861532</v>
      </c>
      <c r="D83" s="144">
        <v>1227615.76</v>
      </c>
      <c r="E83" s="144">
        <v>285762.49</v>
      </c>
      <c r="F83" s="145">
        <f t="shared" si="38"/>
        <v>1513378.25</v>
      </c>
      <c r="G83" s="144"/>
      <c r="H83" s="144"/>
      <c r="I83" s="145"/>
      <c r="J83" s="144">
        <v>277842.69</v>
      </c>
      <c r="K83" s="144">
        <v>63178.46</v>
      </c>
      <c r="L83" s="145">
        <f t="shared" si="39"/>
        <v>341021.15</v>
      </c>
      <c r="M83" s="146">
        <v>46437.78</v>
      </c>
      <c r="N83" s="146">
        <v>18845.060000000001</v>
      </c>
      <c r="O83" s="145">
        <f t="shared" si="40"/>
        <v>65282.84</v>
      </c>
      <c r="P83" s="144">
        <v>288344.15999999997</v>
      </c>
      <c r="Q83" s="144">
        <v>117013.42</v>
      </c>
      <c r="R83" s="147">
        <f t="shared" si="41"/>
        <v>405357.57999999996</v>
      </c>
      <c r="S83" s="117">
        <v>0</v>
      </c>
      <c r="T83" s="117">
        <v>0</v>
      </c>
      <c r="U83" s="146">
        <v>0</v>
      </c>
      <c r="V83" s="146">
        <v>0</v>
      </c>
      <c r="W83" s="4"/>
      <c r="X83" s="4"/>
      <c r="Y83" s="4"/>
      <c r="Z83" s="4"/>
      <c r="AA83" s="4"/>
      <c r="AB83" s="4"/>
      <c r="AC83" s="4"/>
      <c r="AD83" s="4"/>
      <c r="AE83" s="4"/>
      <c r="AF83" s="118">
        <f t="shared" si="42"/>
        <v>341021.15</v>
      </c>
      <c r="AG83" s="112">
        <f t="shared" si="42"/>
        <v>46437.78</v>
      </c>
      <c r="AH83" s="112">
        <f t="shared" si="42"/>
        <v>18845.060000000001</v>
      </c>
      <c r="AI83" s="10">
        <f t="shared" si="43"/>
        <v>38077.930470259998</v>
      </c>
      <c r="AJ83" s="10">
        <f t="shared" si="44"/>
        <v>14030.767134899999</v>
      </c>
      <c r="AK83" s="10">
        <f t="shared" si="45"/>
        <v>121.62193092000001</v>
      </c>
      <c r="AL83" s="10">
        <f t="shared" si="46"/>
        <v>13052.520463920002</v>
      </c>
      <c r="AM83" s="10">
        <f t="shared" si="47"/>
        <v>0</v>
      </c>
      <c r="AN83" s="9">
        <f t="shared" si="48"/>
        <v>0</v>
      </c>
      <c r="AO83" s="10">
        <f t="shared" si="49"/>
        <v>0</v>
      </c>
      <c r="AP83" s="66">
        <f t="shared" si="50"/>
        <v>1056054.4156867021</v>
      </c>
      <c r="AQ83" s="66">
        <f t="shared" si="51"/>
        <v>366027.84103874135</v>
      </c>
      <c r="AR83" s="66">
        <f t="shared" si="52"/>
        <v>3410.1972767584593</v>
      </c>
      <c r="AS83" s="66">
        <f t="shared" si="53"/>
        <v>85254.931918961491</v>
      </c>
      <c r="AT83" s="66"/>
      <c r="AU83" s="4"/>
      <c r="AV83" s="4"/>
      <c r="AW83" s="4"/>
      <c r="AX83" s="4"/>
      <c r="AY83" s="4"/>
      <c r="AZ83" s="4"/>
      <c r="BA83" s="4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9">
        <f t="shared" si="37"/>
        <v>1917051.3759211637</v>
      </c>
      <c r="BN83" s="9">
        <f t="shared" si="66"/>
        <v>1473212.7076596236</v>
      </c>
      <c r="BO83" s="9">
        <f t="shared" si="54"/>
        <v>440306.84905386146</v>
      </c>
      <c r="BP83" s="9">
        <f t="shared" si="55"/>
        <v>3531.8192076784594</v>
      </c>
      <c r="BQ83" s="10">
        <f t="shared" si="56"/>
        <v>0</v>
      </c>
      <c r="BR83" s="9">
        <f t="shared" si="57"/>
        <v>1917051.3759211637</v>
      </c>
      <c r="BS83" s="142">
        <f t="shared" si="67"/>
        <v>1422082.2567254435</v>
      </c>
      <c r="BT83" s="83">
        <f t="shared" si="58"/>
        <v>1422082</v>
      </c>
      <c r="BU83" s="175">
        <f t="shared" si="59"/>
        <v>1.388554640589093E-3</v>
      </c>
      <c r="BV83" s="173">
        <f t="shared" si="60"/>
        <v>341021.15</v>
      </c>
      <c r="BW83" s="176">
        <f t="shared" si="61"/>
        <v>1.9882647562548361E-3</v>
      </c>
      <c r="BX83" s="177">
        <f t="shared" si="62"/>
        <v>0</v>
      </c>
      <c r="BY83" s="178">
        <f t="shared" si="63"/>
        <v>0</v>
      </c>
      <c r="BZ83" s="4"/>
      <c r="CA83" s="4"/>
      <c r="CB83" s="4"/>
      <c r="CC83" s="4"/>
      <c r="CD83" s="4"/>
      <c r="CE83" s="4"/>
      <c r="CF83" s="4"/>
      <c r="CG83" s="126">
        <f t="shared" si="64"/>
        <v>1071903.11380125</v>
      </c>
      <c r="CH83" s="126">
        <f t="shared" si="65"/>
        <v>441475.13619875</v>
      </c>
      <c r="CI83" s="126"/>
      <c r="CJ83" s="126"/>
      <c r="CK83" s="9"/>
      <c r="CL83" s="9"/>
      <c r="CM83" s="127"/>
      <c r="CN83" s="9"/>
      <c r="CO83" s="9"/>
      <c r="CP83" s="9"/>
      <c r="CQ83" s="126"/>
      <c r="CR83" s="126"/>
      <c r="CS83" s="126"/>
      <c r="CT83" s="126"/>
      <c r="CU83" s="126"/>
      <c r="CV83" s="9"/>
      <c r="CW83" s="9"/>
      <c r="CX83" s="127"/>
      <c r="CY83" s="67"/>
      <c r="CZ83" s="67"/>
    </row>
    <row r="84" spans="1:104" x14ac:dyDescent="0.35">
      <c r="A84" s="143">
        <v>79</v>
      </c>
      <c r="B84" s="116" t="s">
        <v>532</v>
      </c>
      <c r="C84" s="144">
        <v>30023427.460132245</v>
      </c>
      <c r="D84" s="144">
        <v>2765072.44</v>
      </c>
      <c r="E84" s="144">
        <v>1094439.1599999999</v>
      </c>
      <c r="F84" s="145">
        <f t="shared" si="38"/>
        <v>3859511.5999999996</v>
      </c>
      <c r="G84" s="144"/>
      <c r="H84" s="144"/>
      <c r="I84" s="145"/>
      <c r="J84" s="144">
        <v>635341.86</v>
      </c>
      <c r="K84" s="144">
        <v>226330.55</v>
      </c>
      <c r="L84" s="145">
        <f t="shared" si="39"/>
        <v>861672.40999999992</v>
      </c>
      <c r="M84" s="146">
        <v>53405.24</v>
      </c>
      <c r="N84" s="146">
        <v>156125.22</v>
      </c>
      <c r="O84" s="145">
        <f t="shared" si="40"/>
        <v>209530.46</v>
      </c>
      <c r="P84" s="144">
        <v>331605.39</v>
      </c>
      <c r="Q84" s="144">
        <v>969418.81</v>
      </c>
      <c r="R84" s="147">
        <f t="shared" si="41"/>
        <v>1301024.2000000002</v>
      </c>
      <c r="S84" s="117">
        <v>27021.88</v>
      </c>
      <c r="T84" s="117">
        <v>0</v>
      </c>
      <c r="U84" s="146">
        <v>0</v>
      </c>
      <c r="V84" s="146">
        <v>0</v>
      </c>
      <c r="W84" s="4"/>
      <c r="X84" s="4"/>
      <c r="Y84" s="4"/>
      <c r="Z84" s="4"/>
      <c r="AA84" s="4"/>
      <c r="AB84" s="4"/>
      <c r="AC84" s="4"/>
      <c r="AD84" s="4"/>
      <c r="AE84" s="4"/>
      <c r="AF84" s="118">
        <f t="shared" si="42"/>
        <v>861672.40999999992</v>
      </c>
      <c r="AG84" s="112">
        <f t="shared" si="42"/>
        <v>53405.24</v>
      </c>
      <c r="AH84" s="112">
        <f t="shared" si="42"/>
        <v>156125.22</v>
      </c>
      <c r="AI84" s="10">
        <f t="shared" si="43"/>
        <v>128152.74790738001</v>
      </c>
      <c r="AJ84" s="10">
        <f t="shared" si="44"/>
        <v>39094.255734159997</v>
      </c>
      <c r="AK84" s="10">
        <f t="shared" si="45"/>
        <v>390.35524698</v>
      </c>
      <c r="AL84" s="10">
        <f t="shared" si="46"/>
        <v>41893.101111479999</v>
      </c>
      <c r="AM84" s="10">
        <f t="shared" si="47"/>
        <v>27021.88</v>
      </c>
      <c r="AN84" s="9">
        <f t="shared" si="48"/>
        <v>0</v>
      </c>
      <c r="AO84" s="10">
        <f t="shared" si="49"/>
        <v>0</v>
      </c>
      <c r="AP84" s="66">
        <f t="shared" si="50"/>
        <v>2690617.8640520377</v>
      </c>
      <c r="AQ84" s="66">
        <f t="shared" si="51"/>
        <v>924861.38497625827</v>
      </c>
      <c r="AR84" s="66">
        <f t="shared" si="52"/>
        <v>8616.7209780396715</v>
      </c>
      <c r="AS84" s="66">
        <f t="shared" si="53"/>
        <v>215418.0244509918</v>
      </c>
      <c r="AT84" s="66"/>
      <c r="AU84" s="4"/>
      <c r="AV84" s="4"/>
      <c r="AW84" s="4"/>
      <c r="AX84" s="4"/>
      <c r="AY84" s="4"/>
      <c r="AZ84" s="4"/>
      <c r="BA84" s="4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9">
        <f t="shared" si="37"/>
        <v>4937738.7444573278</v>
      </c>
      <c r="BN84" s="9">
        <f t="shared" si="66"/>
        <v>3812546.9780471558</v>
      </c>
      <c r="BO84" s="9">
        <f t="shared" si="54"/>
        <v>1116184.6901851518</v>
      </c>
      <c r="BP84" s="9">
        <f t="shared" si="55"/>
        <v>9007.0762250196713</v>
      </c>
      <c r="BQ84" s="10">
        <f t="shared" si="56"/>
        <v>0</v>
      </c>
      <c r="BR84" s="9">
        <f t="shared" si="57"/>
        <v>4937738.7444573278</v>
      </c>
      <c r="BS84" s="142">
        <f t="shared" si="67"/>
        <v>3615479.2490282962</v>
      </c>
      <c r="BT84" s="83">
        <f t="shared" si="58"/>
        <v>3615479</v>
      </c>
      <c r="BU84" s="175">
        <f t="shared" si="59"/>
        <v>3.5302391724876571E-3</v>
      </c>
      <c r="BV84" s="173">
        <f t="shared" si="60"/>
        <v>861672.40999999992</v>
      </c>
      <c r="BW84" s="176">
        <f t="shared" si="61"/>
        <v>5.0238317601127291E-3</v>
      </c>
      <c r="BX84" s="177">
        <f t="shared" si="62"/>
        <v>0</v>
      </c>
      <c r="BY84" s="178">
        <f t="shared" si="63"/>
        <v>0</v>
      </c>
      <c r="BZ84" s="4"/>
      <c r="CA84" s="4"/>
      <c r="CB84" s="4"/>
      <c r="CC84" s="4"/>
      <c r="CD84" s="4"/>
      <c r="CE84" s="4"/>
      <c r="CF84" s="4"/>
      <c r="CG84" s="126">
        <f t="shared" si="64"/>
        <v>2733634.1736059999</v>
      </c>
      <c r="CH84" s="126">
        <f t="shared" si="65"/>
        <v>1125877.426394</v>
      </c>
      <c r="CI84" s="126"/>
      <c r="CJ84" s="126"/>
      <c r="CK84" s="9"/>
      <c r="CL84" s="9"/>
      <c r="CM84" s="127"/>
      <c r="CN84" s="9"/>
      <c r="CO84" s="9"/>
      <c r="CP84" s="9"/>
      <c r="CQ84" s="126"/>
      <c r="CR84" s="126"/>
      <c r="CS84" s="126"/>
      <c r="CT84" s="126"/>
      <c r="CU84" s="126"/>
      <c r="CV84" s="9"/>
      <c r="CW84" s="9"/>
      <c r="CX84" s="127"/>
      <c r="CY84" s="67"/>
      <c r="CZ84" s="67"/>
    </row>
    <row r="85" spans="1:104" x14ac:dyDescent="0.35">
      <c r="A85" s="143">
        <v>80</v>
      </c>
      <c r="B85" s="116" t="s">
        <v>533</v>
      </c>
      <c r="C85" s="144">
        <v>12997705.017502917</v>
      </c>
      <c r="D85" s="144">
        <v>1321150.44</v>
      </c>
      <c r="E85" s="144">
        <v>349704.54</v>
      </c>
      <c r="F85" s="145">
        <f t="shared" si="38"/>
        <v>1670854.98</v>
      </c>
      <c r="G85" s="144"/>
      <c r="H85" s="144"/>
      <c r="I85" s="145"/>
      <c r="J85" s="144">
        <v>279800.7</v>
      </c>
      <c r="K85" s="144">
        <v>53633.75</v>
      </c>
      <c r="L85" s="145">
        <f t="shared" si="39"/>
        <v>333434.45</v>
      </c>
      <c r="M85" s="146">
        <v>153145.48000000001</v>
      </c>
      <c r="N85" s="146">
        <v>150200.51999999999</v>
      </c>
      <c r="O85" s="145">
        <f t="shared" si="40"/>
        <v>303346</v>
      </c>
      <c r="P85" s="144">
        <v>950917.57</v>
      </c>
      <c r="Q85" s="144">
        <v>932628.96</v>
      </c>
      <c r="R85" s="147">
        <f t="shared" si="41"/>
        <v>1883546.5299999998</v>
      </c>
      <c r="S85" s="117">
        <v>0</v>
      </c>
      <c r="T85" s="117">
        <v>0</v>
      </c>
      <c r="U85" s="146">
        <v>0</v>
      </c>
      <c r="V85" s="146">
        <v>0</v>
      </c>
      <c r="W85" s="4"/>
      <c r="X85" s="4"/>
      <c r="Y85" s="4"/>
      <c r="Z85" s="4"/>
      <c r="AA85" s="4"/>
      <c r="AB85" s="4"/>
      <c r="AC85" s="4"/>
      <c r="AD85" s="4"/>
      <c r="AE85" s="4"/>
      <c r="AF85" s="118">
        <f t="shared" si="42"/>
        <v>333434.45</v>
      </c>
      <c r="AG85" s="112">
        <f t="shared" si="42"/>
        <v>153145.48000000001</v>
      </c>
      <c r="AH85" s="112">
        <f t="shared" si="42"/>
        <v>150200.51999999999</v>
      </c>
      <c r="AI85" s="10">
        <f t="shared" si="43"/>
        <v>180823.66868036002</v>
      </c>
      <c r="AJ85" s="10">
        <f t="shared" si="44"/>
        <v>61306.805173640001</v>
      </c>
      <c r="AK85" s="10">
        <f t="shared" si="45"/>
        <v>565.13359800000001</v>
      </c>
      <c r="AL85" s="10">
        <f t="shared" si="46"/>
        <v>60650.392548000003</v>
      </c>
      <c r="AM85" s="10">
        <f t="shared" si="47"/>
        <v>0</v>
      </c>
      <c r="AN85" s="9">
        <f t="shared" si="48"/>
        <v>0</v>
      </c>
      <c r="AO85" s="10">
        <f t="shared" si="49"/>
        <v>0</v>
      </c>
      <c r="AP85" s="66">
        <f t="shared" si="50"/>
        <v>1029821.6166498011</v>
      </c>
      <c r="AQ85" s="66">
        <f t="shared" si="51"/>
        <v>357875.90329759388</v>
      </c>
      <c r="AR85" s="66">
        <f t="shared" si="52"/>
        <v>3334.2475462508746</v>
      </c>
      <c r="AS85" s="66">
        <f t="shared" si="53"/>
        <v>83356.188656271872</v>
      </c>
      <c r="AT85" s="66"/>
      <c r="AU85" s="4"/>
      <c r="AV85" s="4"/>
      <c r="AW85" s="4"/>
      <c r="AX85" s="4"/>
      <c r="AY85" s="4"/>
      <c r="AZ85" s="4"/>
      <c r="BA85" s="4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9">
        <f t="shared" si="37"/>
        <v>2111168.4061499177</v>
      </c>
      <c r="BN85" s="9">
        <f t="shared" si="66"/>
        <v>1629171.581175755</v>
      </c>
      <c r="BO85" s="9">
        <f t="shared" si="54"/>
        <v>478097.44382991188</v>
      </c>
      <c r="BP85" s="9">
        <f t="shared" si="55"/>
        <v>3899.3811442508745</v>
      </c>
      <c r="BQ85" s="10">
        <f t="shared" si="56"/>
        <v>0</v>
      </c>
      <c r="BR85" s="9">
        <f t="shared" si="57"/>
        <v>2111168.4061499177</v>
      </c>
      <c r="BS85" s="142">
        <f t="shared" si="67"/>
        <v>1387697.519947395</v>
      </c>
      <c r="BT85" s="83">
        <f t="shared" si="58"/>
        <v>1387698</v>
      </c>
      <c r="BU85" s="175">
        <f t="shared" si="59"/>
        <v>1.3549805729901245E-3</v>
      </c>
      <c r="BV85" s="173">
        <f t="shared" si="60"/>
        <v>333434.45</v>
      </c>
      <c r="BW85" s="176">
        <f t="shared" si="61"/>
        <v>1.9440318157868371E-3</v>
      </c>
      <c r="BX85" s="177">
        <f t="shared" si="62"/>
        <v>0</v>
      </c>
      <c r="BY85" s="178">
        <f t="shared" si="63"/>
        <v>0</v>
      </c>
      <c r="BZ85" s="4"/>
      <c r="CA85" s="4"/>
      <c r="CB85" s="4"/>
      <c r="CC85" s="4"/>
      <c r="CD85" s="4"/>
      <c r="CE85" s="4"/>
      <c r="CF85" s="4"/>
      <c r="CG85" s="126">
        <f t="shared" si="64"/>
        <v>1183441.5195092999</v>
      </c>
      <c r="CH85" s="126">
        <f t="shared" si="65"/>
        <v>487413.46049069997</v>
      </c>
      <c r="CI85" s="126"/>
      <c r="CJ85" s="126"/>
      <c r="CK85" s="9"/>
      <c r="CL85" s="9"/>
      <c r="CM85" s="127"/>
      <c r="CN85" s="9"/>
      <c r="CO85" s="9"/>
      <c r="CP85" s="9"/>
      <c r="CQ85" s="126"/>
      <c r="CR85" s="126"/>
      <c r="CS85" s="126"/>
      <c r="CT85" s="126"/>
      <c r="CU85" s="126"/>
      <c r="CV85" s="9"/>
      <c r="CW85" s="9"/>
      <c r="CX85" s="127"/>
      <c r="CY85" s="67"/>
      <c r="CZ85" s="67"/>
    </row>
    <row r="86" spans="1:104" x14ac:dyDescent="0.35">
      <c r="A86" s="143">
        <v>81</v>
      </c>
      <c r="B86" s="116" t="s">
        <v>534</v>
      </c>
      <c r="C86" s="144">
        <v>6900771.9953325558</v>
      </c>
      <c r="D86" s="144">
        <v>659545.80000000005</v>
      </c>
      <c r="E86" s="144">
        <v>227548.44</v>
      </c>
      <c r="F86" s="145">
        <f t="shared" si="38"/>
        <v>887094.24</v>
      </c>
      <c r="G86" s="144"/>
      <c r="H86" s="144"/>
      <c r="I86" s="145"/>
      <c r="J86" s="144">
        <v>141935.49</v>
      </c>
      <c r="K86" s="144">
        <v>48678.28</v>
      </c>
      <c r="L86" s="145">
        <f t="shared" si="39"/>
        <v>190613.77</v>
      </c>
      <c r="M86" s="146">
        <v>64333.4</v>
      </c>
      <c r="N86" s="146">
        <v>23754.3</v>
      </c>
      <c r="O86" s="145">
        <f t="shared" si="40"/>
        <v>88087.7</v>
      </c>
      <c r="P86" s="144">
        <v>399459.16</v>
      </c>
      <c r="Q86" s="144">
        <v>147497.07999999999</v>
      </c>
      <c r="R86" s="147">
        <f t="shared" si="41"/>
        <v>546956.24</v>
      </c>
      <c r="S86" s="117">
        <v>0</v>
      </c>
      <c r="T86" s="117">
        <v>0</v>
      </c>
      <c r="U86" s="146">
        <v>0</v>
      </c>
      <c r="V86" s="146">
        <v>0</v>
      </c>
      <c r="W86" s="4"/>
      <c r="X86" s="4"/>
      <c r="Y86" s="4"/>
      <c r="Z86" s="4"/>
      <c r="AA86" s="4"/>
      <c r="AB86" s="4"/>
      <c r="AC86" s="4"/>
      <c r="AD86" s="4"/>
      <c r="AE86" s="4"/>
      <c r="AF86" s="118">
        <f t="shared" si="42"/>
        <v>190613.77</v>
      </c>
      <c r="AG86" s="112">
        <f t="shared" si="42"/>
        <v>64333.4</v>
      </c>
      <c r="AH86" s="112">
        <f t="shared" si="42"/>
        <v>23754.3</v>
      </c>
      <c r="AI86" s="10">
        <f t="shared" si="43"/>
        <v>51275.533120299995</v>
      </c>
      <c r="AJ86" s="10">
        <f t="shared" si="44"/>
        <v>19035.980931999999</v>
      </c>
      <c r="AK86" s="10">
        <f t="shared" si="45"/>
        <v>164.10738510000002</v>
      </c>
      <c r="AL86" s="10">
        <f t="shared" si="46"/>
        <v>17612.0785626</v>
      </c>
      <c r="AM86" s="10">
        <f t="shared" si="47"/>
        <v>0</v>
      </c>
      <c r="AN86" s="9">
        <f t="shared" si="48"/>
        <v>0</v>
      </c>
      <c r="AO86" s="10">
        <f t="shared" si="49"/>
        <v>0</v>
      </c>
      <c r="AP86" s="66">
        <f t="shared" si="50"/>
        <v>594741.11591672827</v>
      </c>
      <c r="AQ86" s="66">
        <f t="shared" si="51"/>
        <v>204592.8673217083</v>
      </c>
      <c r="AR86" s="66">
        <f t="shared" si="52"/>
        <v>1906.1447265997665</v>
      </c>
      <c r="AS86" s="66">
        <f t="shared" si="53"/>
        <v>47653.618164994172</v>
      </c>
      <c r="AT86" s="66"/>
      <c r="AU86" s="4"/>
      <c r="AV86" s="4"/>
      <c r="AW86" s="4"/>
      <c r="AX86" s="4"/>
      <c r="AY86" s="4"/>
      <c r="AZ86" s="4"/>
      <c r="BA86" s="4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9">
        <f t="shared" si="37"/>
        <v>1127595.2161300303</v>
      </c>
      <c r="BN86" s="9">
        <f t="shared" si="66"/>
        <v>868221.59492133651</v>
      </c>
      <c r="BO86" s="9">
        <f t="shared" si="54"/>
        <v>257303.36909699417</v>
      </c>
      <c r="BP86" s="9">
        <f t="shared" si="55"/>
        <v>2070.2521116997664</v>
      </c>
      <c r="BQ86" s="10">
        <f t="shared" si="56"/>
        <v>0</v>
      </c>
      <c r="BR86" s="9">
        <f t="shared" si="57"/>
        <v>1127595.2161300303</v>
      </c>
      <c r="BS86" s="142">
        <f t="shared" si="67"/>
        <v>799333.98323843651</v>
      </c>
      <c r="BT86" s="83">
        <f t="shared" si="58"/>
        <v>799334</v>
      </c>
      <c r="BU86" s="175">
        <f t="shared" si="59"/>
        <v>7.8048854527026392E-4</v>
      </c>
      <c r="BV86" s="173">
        <f t="shared" si="60"/>
        <v>190613.77</v>
      </c>
      <c r="BW86" s="176">
        <f t="shared" si="61"/>
        <v>1.1113405750577798E-3</v>
      </c>
      <c r="BX86" s="177">
        <f t="shared" si="62"/>
        <v>0</v>
      </c>
      <c r="BY86" s="178">
        <f t="shared" si="63"/>
        <v>0</v>
      </c>
      <c r="BZ86" s="4"/>
      <c r="CA86" s="4"/>
      <c r="CB86" s="4"/>
      <c r="CC86" s="4"/>
      <c r="CD86" s="4"/>
      <c r="CE86" s="4"/>
      <c r="CF86" s="4"/>
      <c r="CG86" s="126">
        <f t="shared" si="64"/>
        <v>628315.54377840005</v>
      </c>
      <c r="CH86" s="126">
        <f t="shared" si="65"/>
        <v>258778.69622160002</v>
      </c>
      <c r="CI86" s="126"/>
      <c r="CJ86" s="126"/>
      <c r="CK86" s="9"/>
      <c r="CL86" s="9"/>
      <c r="CM86" s="127"/>
      <c r="CN86" s="9"/>
      <c r="CO86" s="9"/>
      <c r="CP86" s="9"/>
      <c r="CQ86" s="126"/>
      <c r="CR86" s="126"/>
      <c r="CS86" s="126"/>
      <c r="CT86" s="126"/>
      <c r="CU86" s="126"/>
      <c r="CV86" s="9"/>
      <c r="CW86" s="9"/>
      <c r="CX86" s="127"/>
      <c r="CY86" s="67"/>
      <c r="CZ86" s="67"/>
    </row>
    <row r="87" spans="1:104" x14ac:dyDescent="0.35">
      <c r="A87" s="143">
        <v>82</v>
      </c>
      <c r="B87" s="116" t="s">
        <v>535</v>
      </c>
      <c r="C87" s="144">
        <v>18811935.744846363</v>
      </c>
      <c r="D87" s="144">
        <v>1975541.73</v>
      </c>
      <c r="E87" s="144">
        <v>442732.61</v>
      </c>
      <c r="F87" s="145">
        <f t="shared" si="38"/>
        <v>2418274.34</v>
      </c>
      <c r="G87" s="144"/>
      <c r="H87" s="144"/>
      <c r="I87" s="145"/>
      <c r="J87" s="144">
        <v>432488.61</v>
      </c>
      <c r="K87" s="144">
        <v>96139.88</v>
      </c>
      <c r="L87" s="145">
        <f t="shared" si="39"/>
        <v>528628.49</v>
      </c>
      <c r="M87" s="146">
        <v>153262.14000000001</v>
      </c>
      <c r="N87" s="146">
        <v>38555.65</v>
      </c>
      <c r="O87" s="145">
        <f t="shared" si="40"/>
        <v>191817.79</v>
      </c>
      <c r="P87" s="144">
        <v>951642.45</v>
      </c>
      <c r="Q87" s="144">
        <v>239401.02</v>
      </c>
      <c r="R87" s="147">
        <f t="shared" si="41"/>
        <v>1191043.47</v>
      </c>
      <c r="S87" s="117">
        <v>0</v>
      </c>
      <c r="T87" s="117">
        <v>0</v>
      </c>
      <c r="U87" s="146">
        <v>0</v>
      </c>
      <c r="V87" s="146">
        <v>470.88</v>
      </c>
      <c r="W87" s="4"/>
      <c r="X87" s="4"/>
      <c r="Y87" s="4"/>
      <c r="Z87" s="4"/>
      <c r="AA87" s="4"/>
      <c r="AB87" s="4"/>
      <c r="AC87" s="4"/>
      <c r="AD87" s="4"/>
      <c r="AE87" s="4"/>
      <c r="AF87" s="118">
        <f t="shared" si="42"/>
        <v>528628.49</v>
      </c>
      <c r="AG87" s="112">
        <f t="shared" si="42"/>
        <v>153262.14000000001</v>
      </c>
      <c r="AH87" s="112">
        <f t="shared" si="42"/>
        <v>38555.65</v>
      </c>
      <c r="AI87" s="10">
        <f t="shared" si="43"/>
        <v>110838.60718753</v>
      </c>
      <c r="AJ87" s="10">
        <f t="shared" si="44"/>
        <v>42270.160972680002</v>
      </c>
      <c r="AK87" s="10">
        <f t="shared" si="45"/>
        <v>357.35654277000003</v>
      </c>
      <c r="AL87" s="10">
        <f t="shared" si="46"/>
        <v>38351.665297020008</v>
      </c>
      <c r="AM87" s="10">
        <f t="shared" si="47"/>
        <v>0</v>
      </c>
      <c r="AN87" s="9">
        <f t="shared" si="48"/>
        <v>0</v>
      </c>
      <c r="AO87" s="10">
        <f t="shared" si="49"/>
        <v>0</v>
      </c>
      <c r="AP87" s="66">
        <f t="shared" si="50"/>
        <v>1636428.7300634235</v>
      </c>
      <c r="AQ87" s="66">
        <f t="shared" si="51"/>
        <v>567392.73125005292</v>
      </c>
      <c r="AR87" s="66">
        <f t="shared" si="52"/>
        <v>5286.2676824539085</v>
      </c>
      <c r="AS87" s="66">
        <f t="shared" si="53"/>
        <v>132156.69206134774</v>
      </c>
      <c r="AT87" s="66"/>
      <c r="AU87" s="4"/>
      <c r="AV87" s="4"/>
      <c r="AW87" s="4"/>
      <c r="AX87" s="4"/>
      <c r="AY87" s="4"/>
      <c r="AZ87" s="4"/>
      <c r="BA87" s="4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9">
        <f t="shared" si="37"/>
        <v>3061710.7010572786</v>
      </c>
      <c r="BN87" s="9">
        <f t="shared" si="66"/>
        <v>2353011.7337980266</v>
      </c>
      <c r="BO87" s="9">
        <f t="shared" si="54"/>
        <v>703055.34303402773</v>
      </c>
      <c r="BP87" s="9">
        <f t="shared" si="55"/>
        <v>5643.6242252239081</v>
      </c>
      <c r="BQ87" s="10">
        <f t="shared" si="56"/>
        <v>0</v>
      </c>
      <c r="BR87" s="9">
        <f t="shared" si="57"/>
        <v>3061710.7010572781</v>
      </c>
      <c r="BS87" s="142">
        <f t="shared" si="67"/>
        <v>2203821.4613134763</v>
      </c>
      <c r="BT87" s="83">
        <f t="shared" si="58"/>
        <v>2203821</v>
      </c>
      <c r="BU87" s="175">
        <f t="shared" si="59"/>
        <v>2.1518632291939719E-3</v>
      </c>
      <c r="BV87" s="173">
        <f t="shared" si="60"/>
        <v>528628.49</v>
      </c>
      <c r="BW87" s="176">
        <f t="shared" si="61"/>
        <v>3.0820768618580168E-3</v>
      </c>
      <c r="BX87" s="177">
        <f t="shared" si="62"/>
        <v>0</v>
      </c>
      <c r="BY87" s="178">
        <f t="shared" si="63"/>
        <v>0</v>
      </c>
      <c r="BZ87" s="4"/>
      <c r="CA87" s="4"/>
      <c r="CB87" s="4"/>
      <c r="CC87" s="4"/>
      <c r="CD87" s="4"/>
      <c r="CE87" s="4"/>
      <c r="CF87" s="4"/>
      <c r="CG87" s="126">
        <f t="shared" si="64"/>
        <v>1712827.4409069</v>
      </c>
      <c r="CH87" s="126">
        <f t="shared" si="65"/>
        <v>705446.89909309999</v>
      </c>
      <c r="CI87" s="126"/>
      <c r="CJ87" s="126"/>
      <c r="CK87" s="9"/>
      <c r="CL87" s="9"/>
      <c r="CM87" s="127"/>
      <c r="CN87" s="9"/>
      <c r="CO87" s="9"/>
      <c r="CP87" s="9"/>
      <c r="CQ87" s="126"/>
      <c r="CR87" s="126"/>
      <c r="CS87" s="126"/>
      <c r="CT87" s="126"/>
      <c r="CU87" s="126"/>
      <c r="CV87" s="9"/>
      <c r="CW87" s="9"/>
      <c r="CX87" s="127"/>
      <c r="CY87" s="67"/>
      <c r="CZ87" s="67"/>
    </row>
    <row r="88" spans="1:104" x14ac:dyDescent="0.35">
      <c r="A88" s="143">
        <v>83</v>
      </c>
      <c r="B88" s="116" t="s">
        <v>536</v>
      </c>
      <c r="C88" s="144">
        <v>4187244.1851419681</v>
      </c>
      <c r="D88" s="144">
        <v>399261.65</v>
      </c>
      <c r="E88" s="144">
        <v>139008.59</v>
      </c>
      <c r="F88" s="145">
        <f t="shared" si="38"/>
        <v>538270.24</v>
      </c>
      <c r="G88" s="144"/>
      <c r="H88" s="144"/>
      <c r="I88" s="145"/>
      <c r="J88" s="144">
        <v>78275.520000000004</v>
      </c>
      <c r="K88" s="144">
        <v>28444.48</v>
      </c>
      <c r="L88" s="145">
        <f t="shared" si="39"/>
        <v>106720</v>
      </c>
      <c r="M88" s="146">
        <v>79993.56</v>
      </c>
      <c r="N88" s="146">
        <v>21455.65</v>
      </c>
      <c r="O88" s="145">
        <f t="shared" si="40"/>
        <v>101449.20999999999</v>
      </c>
      <c r="P88" s="144">
        <v>496701.3</v>
      </c>
      <c r="Q88" s="144">
        <v>133222.75</v>
      </c>
      <c r="R88" s="147">
        <f t="shared" si="41"/>
        <v>629924.05000000005</v>
      </c>
      <c r="S88" s="117">
        <v>0</v>
      </c>
      <c r="T88" s="117">
        <v>0</v>
      </c>
      <c r="U88" s="146">
        <v>0</v>
      </c>
      <c r="V88" s="146">
        <v>0</v>
      </c>
      <c r="W88" s="4"/>
      <c r="X88" s="4"/>
      <c r="Y88" s="4"/>
      <c r="Z88" s="4"/>
      <c r="AA88" s="4"/>
      <c r="AB88" s="4"/>
      <c r="AC88" s="4"/>
      <c r="AD88" s="4"/>
      <c r="AE88" s="4"/>
      <c r="AF88" s="118">
        <f t="shared" si="42"/>
        <v>106720</v>
      </c>
      <c r="AG88" s="112">
        <f t="shared" si="42"/>
        <v>79993.56</v>
      </c>
      <c r="AH88" s="112">
        <f t="shared" si="42"/>
        <v>21455.65</v>
      </c>
      <c r="AI88" s="10">
        <f t="shared" si="43"/>
        <v>58686.759447370001</v>
      </c>
      <c r="AJ88" s="10">
        <f t="shared" si="44"/>
        <v>22289.898525420002</v>
      </c>
      <c r="AK88" s="10">
        <f t="shared" si="45"/>
        <v>188.99987823000001</v>
      </c>
      <c r="AL88" s="10">
        <f t="shared" si="46"/>
        <v>20283.552148980001</v>
      </c>
      <c r="AM88" s="10">
        <f t="shared" si="47"/>
        <v>0</v>
      </c>
      <c r="AN88" s="9">
        <f t="shared" si="48"/>
        <v>0</v>
      </c>
      <c r="AO88" s="10">
        <f t="shared" si="49"/>
        <v>0</v>
      </c>
      <c r="AP88" s="66">
        <f t="shared" si="50"/>
        <v>333375.35229047947</v>
      </c>
      <c r="AQ88" s="66">
        <f t="shared" si="51"/>
        <v>114545.70835157139</v>
      </c>
      <c r="AR88" s="66">
        <f t="shared" si="52"/>
        <v>1067.1960405425905</v>
      </c>
      <c r="AS88" s="66">
        <f t="shared" si="53"/>
        <v>26679.901013564762</v>
      </c>
      <c r="AT88" s="66"/>
      <c r="AU88" s="4"/>
      <c r="AV88" s="4"/>
      <c r="AW88" s="4"/>
      <c r="AX88" s="4"/>
      <c r="AY88" s="4"/>
      <c r="AZ88" s="4"/>
      <c r="BA88" s="4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9">
        <f t="shared" si="37"/>
        <v>683837.36769615824</v>
      </c>
      <c r="BN88" s="9">
        <f t="shared" si="66"/>
        <v>526891.37223840086</v>
      </c>
      <c r="BO88" s="9">
        <f t="shared" si="54"/>
        <v>155689.79953898475</v>
      </c>
      <c r="BP88" s="9">
        <f t="shared" si="55"/>
        <v>1256.1959187725904</v>
      </c>
      <c r="BQ88" s="10">
        <f t="shared" si="56"/>
        <v>0</v>
      </c>
      <c r="BR88" s="9">
        <f t="shared" si="57"/>
        <v>683837.36769615824</v>
      </c>
      <c r="BS88" s="142">
        <f t="shared" si="67"/>
        <v>447921.06064205087</v>
      </c>
      <c r="BT88" s="83">
        <f t="shared" si="58"/>
        <v>447921</v>
      </c>
      <c r="BU88" s="175">
        <f t="shared" si="59"/>
        <v>4.3736068320286237E-4</v>
      </c>
      <c r="BV88" s="173">
        <f t="shared" si="60"/>
        <v>106720</v>
      </c>
      <c r="BW88" s="176">
        <f t="shared" si="61"/>
        <v>6.2221247798711638E-4</v>
      </c>
      <c r="BX88" s="177">
        <f t="shared" si="62"/>
        <v>0</v>
      </c>
      <c r="BY88" s="178">
        <f t="shared" si="63"/>
        <v>0</v>
      </c>
      <c r="BZ88" s="4"/>
      <c r="CA88" s="4"/>
      <c r="CB88" s="4"/>
      <c r="CC88" s="4"/>
      <c r="CD88" s="4"/>
      <c r="CE88" s="4"/>
      <c r="CF88" s="4"/>
      <c r="CG88" s="126">
        <f t="shared" si="64"/>
        <v>381248.73693840008</v>
      </c>
      <c r="CH88" s="126">
        <f t="shared" si="65"/>
        <v>157021.5030616</v>
      </c>
      <c r="CI88" s="126"/>
      <c r="CJ88" s="126"/>
      <c r="CK88" s="9"/>
      <c r="CL88" s="9"/>
      <c r="CM88" s="127"/>
      <c r="CN88" s="9"/>
      <c r="CO88" s="9"/>
      <c r="CP88" s="9"/>
      <c r="CQ88" s="126"/>
      <c r="CR88" s="126"/>
      <c r="CS88" s="126"/>
      <c r="CT88" s="126"/>
      <c r="CU88" s="126"/>
      <c r="CV88" s="9"/>
      <c r="CW88" s="9"/>
      <c r="CX88" s="127"/>
      <c r="CY88" s="67"/>
      <c r="CZ88" s="67"/>
    </row>
    <row r="89" spans="1:104" x14ac:dyDescent="0.35">
      <c r="A89" s="143">
        <v>84</v>
      </c>
      <c r="B89" s="116" t="s">
        <v>537</v>
      </c>
      <c r="C89" s="144">
        <v>13103046.129910542</v>
      </c>
      <c r="D89" s="144">
        <v>1320597.8700000001</v>
      </c>
      <c r="E89" s="144">
        <v>363798.71</v>
      </c>
      <c r="F89" s="145">
        <f t="shared" si="38"/>
        <v>1684396.58</v>
      </c>
      <c r="G89" s="144"/>
      <c r="H89" s="144"/>
      <c r="I89" s="145"/>
      <c r="J89" s="144">
        <v>289299.07</v>
      </c>
      <c r="K89" s="144">
        <v>76263.81</v>
      </c>
      <c r="L89" s="145">
        <f t="shared" si="39"/>
        <v>365562.88</v>
      </c>
      <c r="M89" s="146">
        <v>101407.97</v>
      </c>
      <c r="N89" s="146">
        <v>46366.82</v>
      </c>
      <c r="O89" s="145">
        <f t="shared" si="40"/>
        <v>147774.79</v>
      </c>
      <c r="P89" s="144">
        <v>629666.79</v>
      </c>
      <c r="Q89" s="144">
        <v>287904.28999999998</v>
      </c>
      <c r="R89" s="147">
        <f t="shared" si="41"/>
        <v>917571.08000000007</v>
      </c>
      <c r="S89" s="117">
        <v>0</v>
      </c>
      <c r="T89" s="117">
        <v>0</v>
      </c>
      <c r="U89" s="146">
        <v>0</v>
      </c>
      <c r="V89" s="146">
        <v>0</v>
      </c>
      <c r="W89" s="4"/>
      <c r="X89" s="4"/>
      <c r="Y89" s="4"/>
      <c r="Z89" s="4"/>
      <c r="AA89" s="4"/>
      <c r="AB89" s="4"/>
      <c r="AC89" s="4"/>
      <c r="AD89" s="4"/>
      <c r="AE89" s="4"/>
      <c r="AF89" s="118">
        <f t="shared" si="42"/>
        <v>365562.88</v>
      </c>
      <c r="AG89" s="112">
        <f t="shared" si="42"/>
        <v>101407.97</v>
      </c>
      <c r="AH89" s="112">
        <f t="shared" si="42"/>
        <v>46366.82</v>
      </c>
      <c r="AI89" s="10">
        <f t="shared" si="43"/>
        <v>86423.828030339995</v>
      </c>
      <c r="AJ89" s="10">
        <f t="shared" si="44"/>
        <v>31529.861572870002</v>
      </c>
      <c r="AK89" s="10">
        <f t="shared" si="45"/>
        <v>275.30443377</v>
      </c>
      <c r="AL89" s="10">
        <f t="shared" si="46"/>
        <v>29545.795963019998</v>
      </c>
      <c r="AM89" s="10">
        <f t="shared" si="47"/>
        <v>0</v>
      </c>
      <c r="AN89" s="9">
        <f t="shared" si="48"/>
        <v>0</v>
      </c>
      <c r="AO89" s="10">
        <f t="shared" si="49"/>
        <v>0</v>
      </c>
      <c r="AP89" s="66">
        <f t="shared" si="50"/>
        <v>1134908.6323118967</v>
      </c>
      <c r="AQ89" s="66">
        <f t="shared" si="51"/>
        <v>392372.29660711938</v>
      </c>
      <c r="AR89" s="66">
        <f t="shared" si="52"/>
        <v>3655.6425149731617</v>
      </c>
      <c r="AS89" s="66">
        <f t="shared" si="53"/>
        <v>91391.062874329044</v>
      </c>
      <c r="AT89" s="66"/>
      <c r="AU89" s="4"/>
      <c r="AV89" s="4"/>
      <c r="AW89" s="4"/>
      <c r="AX89" s="4"/>
      <c r="AY89" s="4"/>
      <c r="AZ89" s="4"/>
      <c r="BA89" s="4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9">
        <f t="shared" si="37"/>
        <v>2135665.3043083181</v>
      </c>
      <c r="BN89" s="9">
        <f t="shared" si="66"/>
        <v>1643250.5529123759</v>
      </c>
      <c r="BO89" s="9">
        <f t="shared" si="54"/>
        <v>488483.80444719904</v>
      </c>
      <c r="BP89" s="9">
        <f t="shared" si="55"/>
        <v>3930.9469487431616</v>
      </c>
      <c r="BQ89" s="10">
        <f t="shared" si="56"/>
        <v>0</v>
      </c>
      <c r="BR89" s="9">
        <f t="shared" si="57"/>
        <v>2135665.3043083181</v>
      </c>
      <c r="BS89" s="142">
        <f t="shared" si="67"/>
        <v>1527280.9289190159</v>
      </c>
      <c r="BT89" s="83">
        <f t="shared" si="58"/>
        <v>1527281</v>
      </c>
      <c r="BU89" s="175">
        <f t="shared" si="59"/>
        <v>1.4912731041430601E-3</v>
      </c>
      <c r="BV89" s="173">
        <f t="shared" si="60"/>
        <v>365562.88</v>
      </c>
      <c r="BW89" s="176">
        <f t="shared" si="61"/>
        <v>2.1313510628270882E-3</v>
      </c>
      <c r="BX89" s="177">
        <f t="shared" si="62"/>
        <v>0</v>
      </c>
      <c r="BY89" s="178">
        <f t="shared" si="63"/>
        <v>0</v>
      </c>
      <c r="BZ89" s="4"/>
      <c r="CA89" s="4"/>
      <c r="CB89" s="4"/>
      <c r="CC89" s="4"/>
      <c r="CD89" s="4"/>
      <c r="CE89" s="4"/>
      <c r="CF89" s="4"/>
      <c r="CG89" s="126">
        <f t="shared" si="64"/>
        <v>1193032.8316653003</v>
      </c>
      <c r="CH89" s="126">
        <f t="shared" si="65"/>
        <v>491363.74833470001</v>
      </c>
      <c r="CI89" s="126"/>
      <c r="CJ89" s="126"/>
      <c r="CK89" s="9"/>
      <c r="CL89" s="9"/>
      <c r="CM89" s="127"/>
      <c r="CN89" s="9"/>
      <c r="CO89" s="9"/>
      <c r="CP89" s="9"/>
      <c r="CQ89" s="126"/>
      <c r="CR89" s="126"/>
      <c r="CS89" s="126"/>
      <c r="CT89" s="126"/>
      <c r="CU89" s="126"/>
      <c r="CV89" s="9"/>
      <c r="CW89" s="9"/>
      <c r="CX89" s="127"/>
      <c r="CY89" s="67"/>
      <c r="CZ89" s="67"/>
    </row>
    <row r="90" spans="1:104" x14ac:dyDescent="0.35">
      <c r="A90" s="143">
        <v>85</v>
      </c>
      <c r="B90" s="116" t="s">
        <v>538</v>
      </c>
      <c r="C90" s="144">
        <v>7134700.1944768569</v>
      </c>
      <c r="D90" s="144">
        <v>708801.86</v>
      </c>
      <c r="E90" s="144">
        <v>208363.85</v>
      </c>
      <c r="F90" s="145">
        <f t="shared" si="38"/>
        <v>917165.71</v>
      </c>
      <c r="G90" s="144"/>
      <c r="H90" s="144"/>
      <c r="I90" s="145"/>
      <c r="J90" s="144">
        <v>152007.81</v>
      </c>
      <c r="K90" s="144">
        <v>36408.68</v>
      </c>
      <c r="L90" s="145">
        <f t="shared" si="39"/>
        <v>188416.49</v>
      </c>
      <c r="M90" s="146">
        <v>71973.63</v>
      </c>
      <c r="N90" s="146">
        <v>65587.39</v>
      </c>
      <c r="O90" s="145">
        <f t="shared" si="40"/>
        <v>137561.02000000002</v>
      </c>
      <c r="P90" s="144">
        <v>446901.18</v>
      </c>
      <c r="Q90" s="144">
        <v>407247.44</v>
      </c>
      <c r="R90" s="147">
        <f t="shared" si="41"/>
        <v>854148.62</v>
      </c>
      <c r="S90" s="117">
        <v>0</v>
      </c>
      <c r="T90" s="117">
        <v>0</v>
      </c>
      <c r="U90" s="146">
        <v>0</v>
      </c>
      <c r="V90" s="146">
        <v>0</v>
      </c>
      <c r="W90" s="4"/>
      <c r="X90" s="4"/>
      <c r="Y90" s="4"/>
      <c r="Z90" s="4"/>
      <c r="AA90" s="4"/>
      <c r="AB90" s="4"/>
      <c r="AC90" s="4"/>
      <c r="AD90" s="4"/>
      <c r="AE90" s="4"/>
      <c r="AF90" s="118">
        <f t="shared" si="42"/>
        <v>188416.49</v>
      </c>
      <c r="AG90" s="112">
        <f t="shared" si="42"/>
        <v>71973.63</v>
      </c>
      <c r="AH90" s="112">
        <f t="shared" si="42"/>
        <v>65587.39</v>
      </c>
      <c r="AI90" s="10">
        <f t="shared" si="43"/>
        <v>81842.915586310002</v>
      </c>
      <c r="AJ90" s="10">
        <f t="shared" si="44"/>
        <v>27958.153016670003</v>
      </c>
      <c r="AK90" s="10">
        <f t="shared" si="45"/>
        <v>256.27618025999999</v>
      </c>
      <c r="AL90" s="10">
        <f t="shared" si="46"/>
        <v>27503.675216760003</v>
      </c>
      <c r="AM90" s="10">
        <f t="shared" si="47"/>
        <v>0</v>
      </c>
      <c r="AN90" s="9">
        <f t="shared" si="48"/>
        <v>0</v>
      </c>
      <c r="AO90" s="10">
        <f t="shared" si="49"/>
        <v>0</v>
      </c>
      <c r="AP90" s="66">
        <f t="shared" si="50"/>
        <v>583980.52514145442</v>
      </c>
      <c r="AQ90" s="66">
        <f t="shared" si="51"/>
        <v>202233.76069815483</v>
      </c>
      <c r="AR90" s="66">
        <f t="shared" si="52"/>
        <v>1884.1654723430572</v>
      </c>
      <c r="AS90" s="66">
        <f t="shared" si="53"/>
        <v>47104.136808576426</v>
      </c>
      <c r="AT90" s="66"/>
      <c r="AU90" s="4"/>
      <c r="AV90" s="4"/>
      <c r="AW90" s="4"/>
      <c r="AX90" s="4"/>
      <c r="AY90" s="4"/>
      <c r="AZ90" s="4"/>
      <c r="BA90" s="4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9">
        <f t="shared" si="37"/>
        <v>1161180.0981205287</v>
      </c>
      <c r="BN90" s="9">
        <f t="shared" si="66"/>
        <v>895560.87664267921</v>
      </c>
      <c r="BO90" s="9">
        <f t="shared" si="54"/>
        <v>263478.77982524643</v>
      </c>
      <c r="BP90" s="9">
        <f t="shared" si="55"/>
        <v>2140.4416526030573</v>
      </c>
      <c r="BQ90" s="10">
        <f t="shared" si="56"/>
        <v>0</v>
      </c>
      <c r="BR90" s="9">
        <f t="shared" si="57"/>
        <v>1161180.0981205287</v>
      </c>
      <c r="BS90" s="142">
        <f t="shared" si="67"/>
        <v>786214.28583960922</v>
      </c>
      <c r="BT90" s="83">
        <f t="shared" si="58"/>
        <v>786214</v>
      </c>
      <c r="BU90" s="175">
        <f t="shared" si="59"/>
        <v>7.6767816343748961E-4</v>
      </c>
      <c r="BV90" s="173">
        <f t="shared" si="60"/>
        <v>188416.49</v>
      </c>
      <c r="BW90" s="176">
        <f t="shared" si="61"/>
        <v>1.0985297145477391E-3</v>
      </c>
      <c r="BX90" s="177">
        <f t="shared" si="62"/>
        <v>0</v>
      </c>
      <c r="BY90" s="178">
        <f t="shared" si="63"/>
        <v>0</v>
      </c>
      <c r="BZ90" s="4"/>
      <c r="CA90" s="4"/>
      <c r="CB90" s="4"/>
      <c r="CC90" s="4"/>
      <c r="CD90" s="4"/>
      <c r="CE90" s="4"/>
      <c r="CF90" s="4"/>
      <c r="CG90" s="126">
        <f t="shared" si="64"/>
        <v>649614.71490735002</v>
      </c>
      <c r="CH90" s="126">
        <f t="shared" si="65"/>
        <v>267550.99509265</v>
      </c>
      <c r="CI90" s="126"/>
      <c r="CJ90" s="126"/>
      <c r="CK90" s="9"/>
      <c r="CL90" s="9"/>
      <c r="CM90" s="127"/>
      <c r="CN90" s="9"/>
      <c r="CO90" s="9"/>
      <c r="CP90" s="9"/>
      <c r="CQ90" s="126"/>
      <c r="CR90" s="126"/>
      <c r="CS90" s="126"/>
      <c r="CT90" s="126"/>
      <c r="CU90" s="126"/>
      <c r="CV90" s="9"/>
      <c r="CW90" s="9"/>
      <c r="CX90" s="127"/>
      <c r="CY90" s="67"/>
      <c r="CZ90" s="67"/>
    </row>
    <row r="91" spans="1:104" x14ac:dyDescent="0.35">
      <c r="A91" s="143">
        <v>86</v>
      </c>
      <c r="B91" s="116" t="s">
        <v>539</v>
      </c>
      <c r="C91" s="144">
        <v>8533619.2921042405</v>
      </c>
      <c r="D91" s="144">
        <v>877804.79</v>
      </c>
      <c r="E91" s="144">
        <v>219191.97</v>
      </c>
      <c r="F91" s="145">
        <f t="shared" si="38"/>
        <v>1096996.76</v>
      </c>
      <c r="G91" s="144"/>
      <c r="H91" s="144"/>
      <c r="I91" s="145"/>
      <c r="J91" s="144">
        <v>186947.35</v>
      </c>
      <c r="K91" s="144">
        <v>39846.400000000001</v>
      </c>
      <c r="L91" s="145">
        <f t="shared" si="39"/>
        <v>226793.75</v>
      </c>
      <c r="M91" s="146">
        <v>96139.41</v>
      </c>
      <c r="N91" s="146">
        <v>60702.1</v>
      </c>
      <c r="O91" s="145">
        <f t="shared" si="40"/>
        <v>156841.51</v>
      </c>
      <c r="P91" s="144">
        <v>596952.44999999995</v>
      </c>
      <c r="Q91" s="144">
        <v>376913.41</v>
      </c>
      <c r="R91" s="147">
        <f t="shared" si="41"/>
        <v>973865.85999999987</v>
      </c>
      <c r="S91" s="117">
        <v>0</v>
      </c>
      <c r="T91" s="117">
        <v>0</v>
      </c>
      <c r="U91" s="146">
        <v>0</v>
      </c>
      <c r="V91" s="146">
        <v>0</v>
      </c>
      <c r="W91" s="4"/>
      <c r="X91" s="4"/>
      <c r="Y91" s="4"/>
      <c r="Z91" s="4"/>
      <c r="AA91" s="4"/>
      <c r="AB91" s="4"/>
      <c r="AC91" s="4"/>
      <c r="AD91" s="4"/>
      <c r="AE91" s="4"/>
      <c r="AF91" s="118">
        <f t="shared" si="42"/>
        <v>226793.75</v>
      </c>
      <c r="AG91" s="112">
        <f t="shared" si="42"/>
        <v>96139.41</v>
      </c>
      <c r="AH91" s="112">
        <f t="shared" si="42"/>
        <v>60702.1</v>
      </c>
      <c r="AI91" s="10">
        <f t="shared" si="43"/>
        <v>92439.836856819995</v>
      </c>
      <c r="AJ91" s="10">
        <f t="shared" si="44"/>
        <v>32750.899583669998</v>
      </c>
      <c r="AK91" s="10">
        <f t="shared" si="45"/>
        <v>292.19573313000001</v>
      </c>
      <c r="AL91" s="10">
        <f t="shared" si="46"/>
        <v>31358.577826380002</v>
      </c>
      <c r="AM91" s="10">
        <f t="shared" si="47"/>
        <v>0</v>
      </c>
      <c r="AN91" s="9">
        <f t="shared" si="48"/>
        <v>0</v>
      </c>
      <c r="AO91" s="10">
        <f t="shared" si="49"/>
        <v>0</v>
      </c>
      <c r="AP91" s="66">
        <f t="shared" si="50"/>
        <v>701597.52207745519</v>
      </c>
      <c r="AQ91" s="66">
        <f t="shared" si="51"/>
        <v>243424.06051375653</v>
      </c>
      <c r="AR91" s="66">
        <f t="shared" si="52"/>
        <v>2267.9260296312718</v>
      </c>
      <c r="AS91" s="66">
        <f t="shared" si="53"/>
        <v>56698.150740781799</v>
      </c>
      <c r="AT91" s="66"/>
      <c r="AU91" s="4"/>
      <c r="AV91" s="4"/>
      <c r="AW91" s="4"/>
      <c r="AX91" s="4"/>
      <c r="AY91" s="4"/>
      <c r="AZ91" s="4"/>
      <c r="BA91" s="4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9">
        <f t="shared" si="37"/>
        <v>1387622.9193616246</v>
      </c>
      <c r="BN91" s="9">
        <f t="shared" si="66"/>
        <v>1068819.9972744116</v>
      </c>
      <c r="BO91" s="9">
        <f t="shared" si="54"/>
        <v>316242.80032445176</v>
      </c>
      <c r="BP91" s="9">
        <f t="shared" si="55"/>
        <v>2560.1217627612718</v>
      </c>
      <c r="BQ91" s="10">
        <f t="shared" si="56"/>
        <v>0</v>
      </c>
      <c r="BR91" s="9">
        <f t="shared" si="57"/>
        <v>1387622.9193616249</v>
      </c>
      <c r="BS91" s="142">
        <f t="shared" si="67"/>
        <v>945021.58259121166</v>
      </c>
      <c r="BT91" s="83">
        <f t="shared" si="58"/>
        <v>945022</v>
      </c>
      <c r="BU91" s="175">
        <f t="shared" si="59"/>
        <v>9.2274135181564284E-4</v>
      </c>
      <c r="BV91" s="173">
        <f t="shared" si="60"/>
        <v>226793.75</v>
      </c>
      <c r="BW91" s="176">
        <f t="shared" si="61"/>
        <v>1.3222816827163659E-3</v>
      </c>
      <c r="BX91" s="177">
        <f t="shared" si="62"/>
        <v>0</v>
      </c>
      <c r="BY91" s="178">
        <f t="shared" si="63"/>
        <v>0</v>
      </c>
      <c r="BZ91" s="4"/>
      <c r="CA91" s="4"/>
      <c r="CB91" s="4"/>
      <c r="CC91" s="4"/>
      <c r="CD91" s="4"/>
      <c r="CE91" s="4"/>
      <c r="CF91" s="4"/>
      <c r="CG91" s="126">
        <f t="shared" si="64"/>
        <v>776986.35015660012</v>
      </c>
      <c r="CH91" s="126">
        <f t="shared" si="65"/>
        <v>320010.4098434</v>
      </c>
      <c r="CI91" s="126"/>
      <c r="CJ91" s="126"/>
      <c r="CK91" s="9"/>
      <c r="CL91" s="9"/>
      <c r="CM91" s="127"/>
      <c r="CN91" s="9"/>
      <c r="CO91" s="9"/>
      <c r="CP91" s="9"/>
      <c r="CQ91" s="126"/>
      <c r="CR91" s="126"/>
      <c r="CS91" s="126"/>
      <c r="CT91" s="126"/>
      <c r="CU91" s="126"/>
      <c r="CV91" s="9"/>
      <c r="CW91" s="9"/>
      <c r="CX91" s="127"/>
      <c r="CY91" s="67"/>
      <c r="CZ91" s="67"/>
    </row>
    <row r="92" spans="1:104" x14ac:dyDescent="0.35">
      <c r="A92" s="143">
        <v>87</v>
      </c>
      <c r="B92" s="116" t="s">
        <v>540</v>
      </c>
      <c r="C92" s="144">
        <v>21345002.489303771</v>
      </c>
      <c r="D92" s="144">
        <v>1754710.74</v>
      </c>
      <c r="E92" s="144">
        <v>989189.33</v>
      </c>
      <c r="F92" s="145">
        <f t="shared" si="38"/>
        <v>2743900.07</v>
      </c>
      <c r="G92" s="144"/>
      <c r="H92" s="144"/>
      <c r="I92" s="145"/>
      <c r="J92" s="144">
        <v>379579.9</v>
      </c>
      <c r="K92" s="144">
        <v>195387.94</v>
      </c>
      <c r="L92" s="145">
        <f t="shared" si="39"/>
        <v>574967.84000000008</v>
      </c>
      <c r="M92" s="146">
        <v>160628.62</v>
      </c>
      <c r="N92" s="146">
        <v>190380.94</v>
      </c>
      <c r="O92" s="145">
        <f t="shared" si="40"/>
        <v>351009.56</v>
      </c>
      <c r="P92" s="144">
        <v>997385.08</v>
      </c>
      <c r="Q92" s="144">
        <v>1182118.8</v>
      </c>
      <c r="R92" s="147">
        <f t="shared" si="41"/>
        <v>2179503.88</v>
      </c>
      <c r="S92" s="117">
        <v>0</v>
      </c>
      <c r="T92" s="117">
        <v>0</v>
      </c>
      <c r="U92" s="146">
        <v>0</v>
      </c>
      <c r="V92" s="146">
        <v>0</v>
      </c>
      <c r="W92" s="4"/>
      <c r="X92" s="4"/>
      <c r="Y92" s="4"/>
      <c r="Z92" s="4"/>
      <c r="AA92" s="4"/>
      <c r="AB92" s="4"/>
      <c r="AC92" s="4"/>
      <c r="AD92" s="4"/>
      <c r="AE92" s="4"/>
      <c r="AF92" s="118">
        <f t="shared" si="42"/>
        <v>574967.84000000008</v>
      </c>
      <c r="AG92" s="112">
        <f t="shared" si="42"/>
        <v>160628.62</v>
      </c>
      <c r="AH92" s="112">
        <f t="shared" si="42"/>
        <v>190380.94</v>
      </c>
      <c r="AI92" s="10">
        <f t="shared" si="43"/>
        <v>210265.28047254001</v>
      </c>
      <c r="AJ92" s="10">
        <f t="shared" si="44"/>
        <v>69910.199309899996</v>
      </c>
      <c r="AK92" s="10">
        <f t="shared" si="45"/>
        <v>653.93081028000006</v>
      </c>
      <c r="AL92" s="10">
        <f t="shared" si="46"/>
        <v>70180.149407279998</v>
      </c>
      <c r="AM92" s="10">
        <f t="shared" si="47"/>
        <v>0</v>
      </c>
      <c r="AN92" s="9">
        <f t="shared" si="48"/>
        <v>0</v>
      </c>
      <c r="AO92" s="10">
        <f t="shared" si="49"/>
        <v>0</v>
      </c>
      <c r="AP92" s="66">
        <f t="shared" si="50"/>
        <v>1810147.2332281391</v>
      </c>
      <c r="AQ92" s="66">
        <f t="shared" si="51"/>
        <v>617129.05521958147</v>
      </c>
      <c r="AR92" s="66">
        <f t="shared" si="52"/>
        <v>5749.6495827911313</v>
      </c>
      <c r="AS92" s="66">
        <f t="shared" si="53"/>
        <v>143741.23956977829</v>
      </c>
      <c r="AT92" s="66"/>
      <c r="AU92" s="4"/>
      <c r="AV92" s="4"/>
      <c r="AW92" s="4"/>
      <c r="AX92" s="4"/>
      <c r="AY92" s="4"/>
      <c r="AZ92" s="4"/>
      <c r="BA92" s="4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9">
        <f t="shared" si="37"/>
        <v>3502744.5776002901</v>
      </c>
      <c r="BN92" s="9">
        <f t="shared" si="66"/>
        <v>2707721.7183275404</v>
      </c>
      <c r="BO92" s="9">
        <f t="shared" si="54"/>
        <v>788619.27887967834</v>
      </c>
      <c r="BP92" s="9">
        <f t="shared" si="55"/>
        <v>6403.5803930711318</v>
      </c>
      <c r="BQ92" s="10">
        <f t="shared" si="56"/>
        <v>0</v>
      </c>
      <c r="BR92" s="9">
        <f t="shared" si="57"/>
        <v>3502744.5776002901</v>
      </c>
      <c r="BS92" s="142">
        <f t="shared" si="67"/>
        <v>2427276.2884477205</v>
      </c>
      <c r="BT92" s="83">
        <f t="shared" si="58"/>
        <v>2427276</v>
      </c>
      <c r="BU92" s="175">
        <f t="shared" si="59"/>
        <v>2.3700497902820433E-3</v>
      </c>
      <c r="BV92" s="173">
        <f t="shared" si="60"/>
        <v>574967.84000000008</v>
      </c>
      <c r="BW92" s="176">
        <f t="shared" si="61"/>
        <v>3.352250416878747E-3</v>
      </c>
      <c r="BX92" s="177">
        <f t="shared" si="62"/>
        <v>0</v>
      </c>
      <c r="BY92" s="178">
        <f t="shared" si="63"/>
        <v>0</v>
      </c>
      <c r="BZ92" s="4"/>
      <c r="CA92" s="4"/>
      <c r="CB92" s="4"/>
      <c r="CC92" s="4"/>
      <c r="CD92" s="4"/>
      <c r="CE92" s="4"/>
      <c r="CF92" s="4"/>
      <c r="CG92" s="126">
        <f t="shared" si="64"/>
        <v>1943463.2610799503</v>
      </c>
      <c r="CH92" s="126">
        <f t="shared" si="65"/>
        <v>800436.80892005004</v>
      </c>
      <c r="CI92" s="126"/>
      <c r="CJ92" s="126"/>
      <c r="CK92" s="9"/>
      <c r="CL92" s="9"/>
      <c r="CM92" s="127"/>
      <c r="CN92" s="9"/>
      <c r="CO92" s="9"/>
      <c r="CP92" s="9"/>
      <c r="CQ92" s="126"/>
      <c r="CR92" s="126"/>
      <c r="CS92" s="126"/>
      <c r="CT92" s="126"/>
      <c r="CU92" s="126"/>
      <c r="CV92" s="9"/>
      <c r="CW92" s="9"/>
      <c r="CX92" s="127"/>
      <c r="CY92" s="67"/>
      <c r="CZ92" s="67"/>
    </row>
    <row r="93" spans="1:104" x14ac:dyDescent="0.35">
      <c r="A93" s="143">
        <v>88</v>
      </c>
      <c r="B93" s="116" t="s">
        <v>541</v>
      </c>
      <c r="C93" s="144">
        <v>8245300.8945935434</v>
      </c>
      <c r="D93" s="144">
        <v>958015.37</v>
      </c>
      <c r="E93" s="144">
        <v>101918.06</v>
      </c>
      <c r="F93" s="145">
        <f t="shared" si="38"/>
        <v>1059933.43</v>
      </c>
      <c r="G93" s="144"/>
      <c r="H93" s="144"/>
      <c r="I93" s="145"/>
      <c r="J93" s="144">
        <v>194455.94</v>
      </c>
      <c r="K93" s="144">
        <v>20805.63</v>
      </c>
      <c r="L93" s="145">
        <f t="shared" si="39"/>
        <v>215261.57</v>
      </c>
      <c r="M93" s="146">
        <v>156321.04</v>
      </c>
      <c r="N93" s="146">
        <v>15993.46</v>
      </c>
      <c r="O93" s="145">
        <f t="shared" si="40"/>
        <v>172314.5</v>
      </c>
      <c r="P93" s="144">
        <v>970637.91</v>
      </c>
      <c r="Q93" s="144">
        <v>99308.28</v>
      </c>
      <c r="R93" s="147">
        <f t="shared" si="41"/>
        <v>1069946.19</v>
      </c>
      <c r="S93" s="117">
        <v>0</v>
      </c>
      <c r="T93" s="117">
        <v>0</v>
      </c>
      <c r="U93" s="146">
        <v>0</v>
      </c>
      <c r="V93" s="146">
        <v>0</v>
      </c>
      <c r="W93" s="4"/>
      <c r="X93" s="4"/>
      <c r="Y93" s="4"/>
      <c r="Z93" s="4"/>
      <c r="AA93" s="4"/>
      <c r="AB93" s="4"/>
      <c r="AC93" s="4"/>
      <c r="AD93" s="4"/>
      <c r="AE93" s="4"/>
      <c r="AF93" s="118">
        <f t="shared" si="42"/>
        <v>215261.57</v>
      </c>
      <c r="AG93" s="112">
        <f t="shared" si="42"/>
        <v>156321.04</v>
      </c>
      <c r="AH93" s="112">
        <f t="shared" si="42"/>
        <v>15993.46</v>
      </c>
      <c r="AI93" s="10">
        <f t="shared" si="43"/>
        <v>98411.429115780003</v>
      </c>
      <c r="AJ93" s="10">
        <f t="shared" si="44"/>
        <v>39129.832469720001</v>
      </c>
      <c r="AK93" s="10">
        <f t="shared" si="45"/>
        <v>321.02191350000004</v>
      </c>
      <c r="AL93" s="10">
        <f t="shared" si="46"/>
        <v>34452.216501000003</v>
      </c>
      <c r="AM93" s="10">
        <f t="shared" si="47"/>
        <v>0</v>
      </c>
      <c r="AN93" s="9">
        <f t="shared" si="48"/>
        <v>0</v>
      </c>
      <c r="AO93" s="10">
        <f t="shared" si="49"/>
        <v>0</v>
      </c>
      <c r="AP93" s="66">
        <f t="shared" si="50"/>
        <v>660251.24465573148</v>
      </c>
      <c r="AQ93" s="66">
        <f t="shared" si="51"/>
        <v>231046.42148791207</v>
      </c>
      <c r="AR93" s="66">
        <f t="shared" si="52"/>
        <v>2152.6064113780626</v>
      </c>
      <c r="AS93" s="66">
        <f t="shared" si="53"/>
        <v>53815.160284451573</v>
      </c>
      <c r="AT93" s="66"/>
      <c r="AU93" s="4"/>
      <c r="AV93" s="4"/>
      <c r="AW93" s="4"/>
      <c r="AX93" s="4"/>
      <c r="AY93" s="4"/>
      <c r="AZ93" s="4"/>
      <c r="BA93" s="4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9">
        <f t="shared" si="37"/>
        <v>1334841.5028394735</v>
      </c>
      <c r="BN93" s="9">
        <f t="shared" si="66"/>
        <v>1024161.3117604236</v>
      </c>
      <c r="BO93" s="9">
        <f t="shared" si="54"/>
        <v>308206.56275417155</v>
      </c>
      <c r="BP93" s="9">
        <f t="shared" si="55"/>
        <v>2473.6283248780628</v>
      </c>
      <c r="BQ93" s="10">
        <f t="shared" si="56"/>
        <v>0</v>
      </c>
      <c r="BR93" s="9">
        <f t="shared" si="57"/>
        <v>1334841.5028394733</v>
      </c>
      <c r="BS93" s="142">
        <f t="shared" si="67"/>
        <v>891297.66614364355</v>
      </c>
      <c r="BT93" s="83">
        <f t="shared" si="58"/>
        <v>891298</v>
      </c>
      <c r="BU93" s="175">
        <f t="shared" si="59"/>
        <v>8.702840532725432E-4</v>
      </c>
      <c r="BV93" s="173">
        <f t="shared" si="60"/>
        <v>215261.57</v>
      </c>
      <c r="BW93" s="176">
        <f t="shared" si="61"/>
        <v>1.2550453043955875E-3</v>
      </c>
      <c r="BX93" s="177">
        <f t="shared" si="62"/>
        <v>0</v>
      </c>
      <c r="BY93" s="178">
        <f t="shared" si="63"/>
        <v>0</v>
      </c>
      <c r="BZ93" s="4"/>
      <c r="CA93" s="4"/>
      <c r="CB93" s="4"/>
      <c r="CC93" s="4"/>
      <c r="CD93" s="4"/>
      <c r="CE93" s="4"/>
      <c r="CF93" s="4"/>
      <c r="CG93" s="126">
        <f t="shared" si="64"/>
        <v>750734.94946755003</v>
      </c>
      <c r="CH93" s="126">
        <f t="shared" si="65"/>
        <v>309198.48053245002</v>
      </c>
      <c r="CI93" s="126"/>
      <c r="CJ93" s="126"/>
      <c r="CK93" s="9"/>
      <c r="CL93" s="9"/>
      <c r="CM93" s="127"/>
      <c r="CN93" s="9"/>
      <c r="CO93" s="9"/>
      <c r="CP93" s="9"/>
      <c r="CQ93" s="126"/>
      <c r="CR93" s="126"/>
      <c r="CS93" s="126"/>
      <c r="CT93" s="126"/>
      <c r="CU93" s="126"/>
      <c r="CV93" s="9"/>
      <c r="CW93" s="9"/>
      <c r="CX93" s="127"/>
      <c r="CY93" s="67"/>
      <c r="CZ93" s="67"/>
    </row>
    <row r="94" spans="1:104" x14ac:dyDescent="0.35">
      <c r="A94" s="143">
        <v>89</v>
      </c>
      <c r="B94" s="116" t="s">
        <v>542</v>
      </c>
      <c r="C94" s="144">
        <v>20205376.818358615</v>
      </c>
      <c r="D94" s="144">
        <v>2069481.1</v>
      </c>
      <c r="E94" s="144">
        <v>527920.09</v>
      </c>
      <c r="F94" s="145">
        <f t="shared" si="38"/>
        <v>2597401.19</v>
      </c>
      <c r="G94" s="144"/>
      <c r="H94" s="144"/>
      <c r="I94" s="145"/>
      <c r="J94" s="144">
        <v>428851.82</v>
      </c>
      <c r="K94" s="144">
        <v>120555.15</v>
      </c>
      <c r="L94" s="145">
        <f t="shared" si="39"/>
        <v>549406.97</v>
      </c>
      <c r="M94" s="146">
        <v>290466.15999999997</v>
      </c>
      <c r="N94" s="146">
        <v>14208.37</v>
      </c>
      <c r="O94" s="145">
        <f t="shared" si="40"/>
        <v>304674.52999999997</v>
      </c>
      <c r="P94" s="144">
        <v>1803573.95</v>
      </c>
      <c r="Q94" s="144">
        <v>88223.73</v>
      </c>
      <c r="R94" s="147">
        <f t="shared" si="41"/>
        <v>1891797.68</v>
      </c>
      <c r="S94" s="117">
        <v>0</v>
      </c>
      <c r="T94" s="117">
        <v>0</v>
      </c>
      <c r="U94" s="146">
        <v>0</v>
      </c>
      <c r="V94" s="146">
        <v>0</v>
      </c>
      <c r="W94" s="4"/>
      <c r="X94" s="4"/>
      <c r="Y94" s="4"/>
      <c r="Z94" s="4"/>
      <c r="AA94" s="4"/>
      <c r="AB94" s="4"/>
      <c r="AC94" s="4"/>
      <c r="AD94" s="4"/>
      <c r="AE94" s="4"/>
      <c r="AF94" s="118">
        <f t="shared" si="42"/>
        <v>549406.97</v>
      </c>
      <c r="AG94" s="112">
        <f t="shared" si="42"/>
        <v>290466.15999999997</v>
      </c>
      <c r="AH94" s="112">
        <f t="shared" si="42"/>
        <v>14208.37</v>
      </c>
      <c r="AI94" s="10">
        <f t="shared" si="43"/>
        <v>173130.59520296997</v>
      </c>
      <c r="AJ94" s="10">
        <f t="shared" si="44"/>
        <v>70060.309968499991</v>
      </c>
      <c r="AK94" s="10">
        <f t="shared" si="45"/>
        <v>567.60864938999998</v>
      </c>
      <c r="AL94" s="10">
        <f t="shared" si="46"/>
        <v>60916.016179139995</v>
      </c>
      <c r="AM94" s="10">
        <f t="shared" si="47"/>
        <v>0</v>
      </c>
      <c r="AN94" s="9">
        <f t="shared" si="48"/>
        <v>0</v>
      </c>
      <c r="AO94" s="10">
        <f t="shared" si="49"/>
        <v>0</v>
      </c>
      <c r="AP94" s="66">
        <f t="shared" si="50"/>
        <v>1707636.439241329</v>
      </c>
      <c r="AQ94" s="66">
        <f t="shared" si="51"/>
        <v>589697.24825514737</v>
      </c>
      <c r="AR94" s="66">
        <f t="shared" si="52"/>
        <v>5494.0737415075846</v>
      </c>
      <c r="AS94" s="66">
        <f t="shared" si="53"/>
        <v>137351.84353768962</v>
      </c>
      <c r="AT94" s="66"/>
      <c r="AU94" s="4"/>
      <c r="AV94" s="4"/>
      <c r="AW94" s="4"/>
      <c r="AX94" s="4"/>
      <c r="AY94" s="4"/>
      <c r="AZ94" s="4"/>
      <c r="BA94" s="4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9">
        <f t="shared" si="37"/>
        <v>3294261.1047756737</v>
      </c>
      <c r="BN94" s="9">
        <f t="shared" si="66"/>
        <v>2531380.2988785864</v>
      </c>
      <c r="BO94" s="9">
        <f t="shared" si="54"/>
        <v>756819.12350618956</v>
      </c>
      <c r="BP94" s="9">
        <f t="shared" si="55"/>
        <v>6061.6823908975848</v>
      </c>
      <c r="BQ94" s="10">
        <f t="shared" si="56"/>
        <v>0</v>
      </c>
      <c r="BR94" s="9">
        <f t="shared" si="57"/>
        <v>3294261.1047756737</v>
      </c>
      <c r="BS94" s="142">
        <f t="shared" si="67"/>
        <v>2297333.6874964763</v>
      </c>
      <c r="BT94" s="83">
        <f t="shared" si="58"/>
        <v>2297334</v>
      </c>
      <c r="BU94" s="175">
        <f t="shared" si="59"/>
        <v>2.2431707713590878E-3</v>
      </c>
      <c r="BV94" s="173">
        <f t="shared" si="60"/>
        <v>549406.97</v>
      </c>
      <c r="BW94" s="176">
        <f t="shared" si="61"/>
        <v>3.2032221910334828E-3</v>
      </c>
      <c r="BX94" s="177">
        <f t="shared" si="62"/>
        <v>0</v>
      </c>
      <c r="BY94" s="178">
        <f t="shared" si="63"/>
        <v>0</v>
      </c>
      <c r="BZ94" s="4"/>
      <c r="CA94" s="4"/>
      <c r="CB94" s="4"/>
      <c r="CC94" s="4"/>
      <c r="CD94" s="4"/>
      <c r="CE94" s="4"/>
      <c r="CF94" s="4"/>
      <c r="CG94" s="126">
        <f t="shared" si="64"/>
        <v>1839700.3018591502</v>
      </c>
      <c r="CH94" s="126">
        <f t="shared" si="65"/>
        <v>757700.88814085</v>
      </c>
      <c r="CI94" s="126"/>
      <c r="CJ94" s="126"/>
      <c r="CK94" s="9"/>
      <c r="CL94" s="9"/>
      <c r="CM94" s="127"/>
      <c r="CN94" s="9"/>
      <c r="CO94" s="9"/>
      <c r="CP94" s="9"/>
      <c r="CQ94" s="126"/>
      <c r="CR94" s="126"/>
      <c r="CS94" s="126"/>
      <c r="CT94" s="126"/>
      <c r="CU94" s="126"/>
      <c r="CV94" s="9"/>
      <c r="CW94" s="9"/>
      <c r="CX94" s="127"/>
      <c r="CY94" s="67"/>
      <c r="CZ94" s="67"/>
    </row>
    <row r="95" spans="1:104" x14ac:dyDescent="0.35">
      <c r="A95" s="143">
        <v>90</v>
      </c>
      <c r="B95" s="116" t="s">
        <v>543</v>
      </c>
      <c r="C95" s="144">
        <v>19699899.260987941</v>
      </c>
      <c r="D95" s="144">
        <v>1782604.65</v>
      </c>
      <c r="E95" s="144">
        <v>749817.4</v>
      </c>
      <c r="F95" s="145">
        <f t="shared" si="38"/>
        <v>2532422.0499999998</v>
      </c>
      <c r="G95" s="144"/>
      <c r="H95" s="144"/>
      <c r="I95" s="145"/>
      <c r="J95" s="144">
        <v>398227.58</v>
      </c>
      <c r="K95" s="144">
        <v>165187.35999999999</v>
      </c>
      <c r="L95" s="145">
        <f t="shared" si="39"/>
        <v>563414.93999999994</v>
      </c>
      <c r="M95" s="146">
        <v>95465.71</v>
      </c>
      <c r="N95" s="146">
        <v>52608.46</v>
      </c>
      <c r="O95" s="145">
        <f t="shared" si="40"/>
        <v>148074.17000000001</v>
      </c>
      <c r="P95" s="144">
        <v>592770.31000000006</v>
      </c>
      <c r="Q95" s="144">
        <v>326658.69</v>
      </c>
      <c r="R95" s="147">
        <f t="shared" si="41"/>
        <v>919429</v>
      </c>
      <c r="S95" s="117">
        <v>0</v>
      </c>
      <c r="T95" s="117">
        <v>0</v>
      </c>
      <c r="U95" s="146">
        <v>0</v>
      </c>
      <c r="V95" s="146">
        <v>0</v>
      </c>
      <c r="W95" s="4"/>
      <c r="X95" s="4"/>
      <c r="Y95" s="4"/>
      <c r="Z95" s="4"/>
      <c r="AA95" s="4"/>
      <c r="AB95" s="4"/>
      <c r="AC95" s="4"/>
      <c r="AD95" s="4"/>
      <c r="AE95" s="4"/>
      <c r="AF95" s="118">
        <f t="shared" si="42"/>
        <v>563414.93999999994</v>
      </c>
      <c r="AG95" s="112">
        <f t="shared" si="42"/>
        <v>95465.71</v>
      </c>
      <c r="AH95" s="112">
        <f t="shared" si="42"/>
        <v>52608.46</v>
      </c>
      <c r="AI95" s="10">
        <f t="shared" si="43"/>
        <v>86980.645264620005</v>
      </c>
      <c r="AJ95" s="10">
        <f t="shared" si="44"/>
        <v>31212.009155209998</v>
      </c>
      <c r="AK95" s="10">
        <f t="shared" si="45"/>
        <v>275.86217871000002</v>
      </c>
      <c r="AL95" s="10">
        <f t="shared" si="46"/>
        <v>29605.653401460004</v>
      </c>
      <c r="AM95" s="10">
        <f t="shared" si="47"/>
        <v>0</v>
      </c>
      <c r="AN95" s="9">
        <f t="shared" si="48"/>
        <v>0</v>
      </c>
      <c r="AO95" s="10">
        <f t="shared" si="49"/>
        <v>0</v>
      </c>
      <c r="AP95" s="66">
        <f t="shared" si="50"/>
        <v>1765024.0829494942</v>
      </c>
      <c r="AQ95" s="66">
        <f t="shared" si="51"/>
        <v>604731.14240381168</v>
      </c>
      <c r="AR95" s="66">
        <f t="shared" si="52"/>
        <v>5634.1410782963812</v>
      </c>
      <c r="AS95" s="66">
        <f t="shared" si="53"/>
        <v>140853.52695740954</v>
      </c>
      <c r="AT95" s="66"/>
      <c r="AU95" s="4"/>
      <c r="AV95" s="4"/>
      <c r="AW95" s="4"/>
      <c r="AX95" s="4"/>
      <c r="AY95" s="4"/>
      <c r="AZ95" s="4"/>
      <c r="BA95" s="4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9">
        <f t="shared" si="37"/>
        <v>3227732.0033890121</v>
      </c>
      <c r="BN95" s="9">
        <f t="shared" si="66"/>
        <v>2486341.5240193857</v>
      </c>
      <c r="BO95" s="9">
        <f t="shared" si="54"/>
        <v>735480.47611261951</v>
      </c>
      <c r="BP95" s="9">
        <f t="shared" si="55"/>
        <v>5910.0032570063813</v>
      </c>
      <c r="BQ95" s="10">
        <f t="shared" si="56"/>
        <v>0</v>
      </c>
      <c r="BR95" s="9">
        <f t="shared" si="57"/>
        <v>3227732.0033890116</v>
      </c>
      <c r="BS95" s="142">
        <f t="shared" si="67"/>
        <v>2369755.2253533062</v>
      </c>
      <c r="BT95" s="83">
        <f t="shared" si="58"/>
        <v>2369755</v>
      </c>
      <c r="BU95" s="175">
        <f t="shared" si="59"/>
        <v>2.3138848682364775E-3</v>
      </c>
      <c r="BV95" s="173">
        <f t="shared" si="60"/>
        <v>563414.93999999994</v>
      </c>
      <c r="BW95" s="176">
        <f t="shared" si="61"/>
        <v>3.2848932341863046E-3</v>
      </c>
      <c r="BX95" s="177">
        <f t="shared" si="62"/>
        <v>0</v>
      </c>
      <c r="BY95" s="178">
        <f t="shared" si="63"/>
        <v>0</v>
      </c>
      <c r="BZ95" s="4"/>
      <c r="CA95" s="4"/>
      <c r="CB95" s="4"/>
      <c r="CC95" s="4"/>
      <c r="CD95" s="4"/>
      <c r="CE95" s="4"/>
      <c r="CF95" s="4"/>
      <c r="CG95" s="126">
        <f t="shared" si="64"/>
        <v>1793676.5516842501</v>
      </c>
      <c r="CH95" s="126">
        <f t="shared" si="65"/>
        <v>738745.49831574992</v>
      </c>
      <c r="CI95" s="126"/>
      <c r="CJ95" s="126"/>
      <c r="CK95" s="9"/>
      <c r="CL95" s="9"/>
      <c r="CM95" s="127"/>
      <c r="CN95" s="9"/>
      <c r="CO95" s="9"/>
      <c r="CP95" s="9"/>
      <c r="CQ95" s="126"/>
      <c r="CR95" s="126"/>
      <c r="CS95" s="126"/>
      <c r="CT95" s="126"/>
      <c r="CU95" s="126"/>
      <c r="CV95" s="9"/>
      <c r="CW95" s="9"/>
      <c r="CX95" s="127"/>
      <c r="CY95" s="67"/>
      <c r="CZ95" s="67"/>
    </row>
    <row r="96" spans="1:104" x14ac:dyDescent="0.35">
      <c r="A96" s="143">
        <v>91</v>
      </c>
      <c r="B96" s="116" t="s">
        <v>544</v>
      </c>
      <c r="C96" s="144">
        <v>4509231.8942045895</v>
      </c>
      <c r="D96" s="144">
        <v>413803.41</v>
      </c>
      <c r="E96" s="144">
        <v>165858.35</v>
      </c>
      <c r="F96" s="145">
        <f t="shared" si="38"/>
        <v>579661.76</v>
      </c>
      <c r="G96" s="144"/>
      <c r="H96" s="144"/>
      <c r="I96" s="145"/>
      <c r="J96" s="144">
        <v>87077.5</v>
      </c>
      <c r="K96" s="144">
        <v>34621.18</v>
      </c>
      <c r="L96" s="145">
        <f t="shared" si="39"/>
        <v>121698.68</v>
      </c>
      <c r="M96" s="146">
        <v>50960.160000000003</v>
      </c>
      <c r="N96" s="146">
        <v>21935.03</v>
      </c>
      <c r="O96" s="145">
        <f t="shared" si="40"/>
        <v>72895.19</v>
      </c>
      <c r="P96" s="144">
        <v>316425.21000000002</v>
      </c>
      <c r="Q96" s="144">
        <v>136200.67000000001</v>
      </c>
      <c r="R96" s="147">
        <f t="shared" si="41"/>
        <v>452625.88</v>
      </c>
      <c r="S96" s="117">
        <v>0</v>
      </c>
      <c r="T96" s="117">
        <v>0</v>
      </c>
      <c r="U96" s="146">
        <v>0</v>
      </c>
      <c r="V96" s="146">
        <v>0</v>
      </c>
      <c r="W96" s="4"/>
      <c r="X96" s="4"/>
      <c r="Y96" s="4"/>
      <c r="Z96" s="4"/>
      <c r="AA96" s="4"/>
      <c r="AB96" s="4"/>
      <c r="AC96" s="4"/>
      <c r="AD96" s="4"/>
      <c r="AE96" s="4"/>
      <c r="AF96" s="118">
        <f t="shared" si="42"/>
        <v>121698.68</v>
      </c>
      <c r="AG96" s="112">
        <f t="shared" si="42"/>
        <v>50960.160000000003</v>
      </c>
      <c r="AH96" s="112">
        <f t="shared" si="42"/>
        <v>21935.03</v>
      </c>
      <c r="AI96" s="10">
        <f t="shared" si="43"/>
        <v>42573.453274669999</v>
      </c>
      <c r="AJ96" s="10">
        <f t="shared" si="44"/>
        <v>15611.414488140001</v>
      </c>
      <c r="AK96" s="10">
        <f t="shared" si="45"/>
        <v>135.80373897000001</v>
      </c>
      <c r="AL96" s="10">
        <f t="shared" si="46"/>
        <v>14574.518498220001</v>
      </c>
      <c r="AM96" s="10">
        <f t="shared" si="47"/>
        <v>0</v>
      </c>
      <c r="AN96" s="9">
        <f t="shared" si="48"/>
        <v>0</v>
      </c>
      <c r="AO96" s="10">
        <f t="shared" si="49"/>
        <v>0</v>
      </c>
      <c r="AP96" s="66">
        <f t="shared" si="50"/>
        <v>380894.21515626065</v>
      </c>
      <c r="AQ96" s="66">
        <f t="shared" si="51"/>
        <v>130622.71365738779</v>
      </c>
      <c r="AR96" s="66">
        <f t="shared" si="52"/>
        <v>1216.9818042613767</v>
      </c>
      <c r="AS96" s="66">
        <f t="shared" si="53"/>
        <v>30424.545106534424</v>
      </c>
      <c r="AT96" s="66"/>
      <c r="AU96" s="4"/>
      <c r="AV96" s="4"/>
      <c r="AW96" s="4"/>
      <c r="AX96" s="4"/>
      <c r="AY96" s="4"/>
      <c r="AZ96" s="4"/>
      <c r="BA96" s="4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9">
        <f t="shared" si="37"/>
        <v>737752.32572444412</v>
      </c>
      <c r="BN96" s="9">
        <f t="shared" si="66"/>
        <v>568664.90058653848</v>
      </c>
      <c r="BO96" s="9">
        <f t="shared" si="54"/>
        <v>167734.6395946744</v>
      </c>
      <c r="BP96" s="9">
        <f t="shared" si="55"/>
        <v>1352.7855432313768</v>
      </c>
      <c r="BQ96" s="10">
        <f t="shared" si="56"/>
        <v>0</v>
      </c>
      <c r="BR96" s="9">
        <f t="shared" si="57"/>
        <v>737752.32572444424</v>
      </c>
      <c r="BS96" s="142">
        <f t="shared" si="67"/>
        <v>511516.92881364841</v>
      </c>
      <c r="BT96" s="83">
        <f t="shared" si="58"/>
        <v>511517</v>
      </c>
      <c r="BU96" s="175">
        <f t="shared" si="59"/>
        <v>4.9945718813732551E-4</v>
      </c>
      <c r="BV96" s="173">
        <f t="shared" si="60"/>
        <v>121698.68</v>
      </c>
      <c r="BW96" s="176">
        <f t="shared" si="61"/>
        <v>7.0954307768516785E-4</v>
      </c>
      <c r="BX96" s="177">
        <f t="shared" si="62"/>
        <v>0</v>
      </c>
      <c r="BY96" s="178">
        <f t="shared" si="63"/>
        <v>0</v>
      </c>
      <c r="BZ96" s="4"/>
      <c r="CA96" s="4"/>
      <c r="CB96" s="4"/>
      <c r="CC96" s="4"/>
      <c r="CD96" s="4"/>
      <c r="CE96" s="4"/>
      <c r="CF96" s="4"/>
      <c r="CG96" s="126">
        <f t="shared" si="64"/>
        <v>410565.7296816</v>
      </c>
      <c r="CH96" s="126">
        <f t="shared" si="65"/>
        <v>169096.03031840001</v>
      </c>
      <c r="CI96" s="126"/>
      <c r="CJ96" s="126"/>
      <c r="CK96" s="9"/>
      <c r="CL96" s="9"/>
      <c r="CM96" s="127"/>
      <c r="CN96" s="9"/>
      <c r="CO96" s="9"/>
      <c r="CP96" s="9"/>
      <c r="CQ96" s="126"/>
      <c r="CR96" s="126"/>
      <c r="CS96" s="126"/>
      <c r="CT96" s="126"/>
      <c r="CU96" s="126"/>
      <c r="CV96" s="9"/>
      <c r="CW96" s="9"/>
      <c r="CX96" s="127"/>
      <c r="CY96" s="67"/>
      <c r="CZ96" s="67"/>
    </row>
    <row r="97" spans="1:104" x14ac:dyDescent="0.35">
      <c r="A97" s="143">
        <v>92</v>
      </c>
      <c r="B97" s="116" t="s">
        <v>545</v>
      </c>
      <c r="C97" s="144">
        <v>16859914.974718008</v>
      </c>
      <c r="D97" s="144">
        <v>1676106.63</v>
      </c>
      <c r="E97" s="144">
        <v>491235.44</v>
      </c>
      <c r="F97" s="145">
        <f t="shared" si="38"/>
        <v>2167342.0699999998</v>
      </c>
      <c r="G97" s="144"/>
      <c r="H97" s="144"/>
      <c r="I97" s="145"/>
      <c r="J97" s="144">
        <v>360601.24</v>
      </c>
      <c r="K97" s="144">
        <v>102481.99</v>
      </c>
      <c r="L97" s="145">
        <f t="shared" si="39"/>
        <v>463083.23</v>
      </c>
      <c r="M97" s="146">
        <v>164039.79999999999</v>
      </c>
      <c r="N97" s="146">
        <v>65274.54</v>
      </c>
      <c r="O97" s="145">
        <f t="shared" si="40"/>
        <v>229314.34</v>
      </c>
      <c r="P97" s="144">
        <v>1018563.96</v>
      </c>
      <c r="Q97" s="144">
        <v>405303.53</v>
      </c>
      <c r="R97" s="147">
        <f t="shared" si="41"/>
        <v>1423867.49</v>
      </c>
      <c r="S97" s="117">
        <v>0</v>
      </c>
      <c r="T97" s="117">
        <v>0</v>
      </c>
      <c r="U97" s="146">
        <v>0</v>
      </c>
      <c r="V97" s="146">
        <v>0</v>
      </c>
      <c r="W97" s="4"/>
      <c r="X97" s="4"/>
      <c r="Y97" s="4"/>
      <c r="Z97" s="4"/>
      <c r="AA97" s="4"/>
      <c r="AB97" s="4"/>
      <c r="AC97" s="4"/>
      <c r="AD97" s="4"/>
      <c r="AE97" s="4"/>
      <c r="AF97" s="118">
        <f t="shared" si="42"/>
        <v>463083.23</v>
      </c>
      <c r="AG97" s="112">
        <f t="shared" si="42"/>
        <v>164039.79999999999</v>
      </c>
      <c r="AH97" s="112">
        <f t="shared" si="42"/>
        <v>65274.54</v>
      </c>
      <c r="AI97" s="10">
        <f t="shared" si="43"/>
        <v>133696.41275990001</v>
      </c>
      <c r="AJ97" s="10">
        <f t="shared" si="44"/>
        <v>49342.064113759996</v>
      </c>
      <c r="AK97" s="10">
        <f t="shared" si="45"/>
        <v>427.21261542000002</v>
      </c>
      <c r="AL97" s="10">
        <f t="shared" si="46"/>
        <v>45848.650510920001</v>
      </c>
      <c r="AM97" s="10">
        <f t="shared" si="47"/>
        <v>0</v>
      </c>
      <c r="AN97" s="9">
        <f t="shared" si="48"/>
        <v>0</v>
      </c>
      <c r="AO97" s="10">
        <f t="shared" si="49"/>
        <v>0</v>
      </c>
      <c r="AP97" s="66">
        <f t="shared" si="50"/>
        <v>1439612.6580007665</v>
      </c>
      <c r="AQ97" s="66">
        <f t="shared" si="51"/>
        <v>497040.72900791984</v>
      </c>
      <c r="AR97" s="66">
        <f t="shared" si="52"/>
        <v>4630.8142454154022</v>
      </c>
      <c r="AS97" s="66">
        <f t="shared" si="53"/>
        <v>115770.35613538505</v>
      </c>
      <c r="AT97" s="66"/>
      <c r="AU97" s="4"/>
      <c r="AV97" s="4"/>
      <c r="AW97" s="4"/>
      <c r="AX97" s="4"/>
      <c r="AY97" s="4"/>
      <c r="AZ97" s="4"/>
      <c r="BA97" s="4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9">
        <f t="shared" si="37"/>
        <v>2749452.1273894869</v>
      </c>
      <c r="BN97" s="9">
        <f t="shared" si="66"/>
        <v>2116198.4502795064</v>
      </c>
      <c r="BO97" s="9">
        <f t="shared" si="54"/>
        <v>628195.65024914499</v>
      </c>
      <c r="BP97" s="9">
        <f t="shared" si="55"/>
        <v>5058.0268608354017</v>
      </c>
      <c r="BQ97" s="10">
        <f t="shared" si="56"/>
        <v>0</v>
      </c>
      <c r="BR97" s="9">
        <f t="shared" si="57"/>
        <v>2749452.1273894869</v>
      </c>
      <c r="BS97" s="142">
        <f t="shared" si="67"/>
        <v>1936653.3870086863</v>
      </c>
      <c r="BT97" s="83">
        <f t="shared" si="58"/>
        <v>1936653</v>
      </c>
      <c r="BU97" s="175">
        <f t="shared" si="59"/>
        <v>1.8909940230431275E-3</v>
      </c>
      <c r="BV97" s="173">
        <f t="shared" si="60"/>
        <v>463083.23</v>
      </c>
      <c r="BW97" s="176">
        <f t="shared" si="61"/>
        <v>2.6999265747055636E-3</v>
      </c>
      <c r="BX97" s="177">
        <f t="shared" si="62"/>
        <v>0</v>
      </c>
      <c r="BY97" s="178">
        <f t="shared" si="63"/>
        <v>0</v>
      </c>
      <c r="BZ97" s="4"/>
      <c r="CA97" s="4"/>
      <c r="CB97" s="4"/>
      <c r="CC97" s="4"/>
      <c r="CD97" s="4"/>
      <c r="CE97" s="4"/>
      <c r="CF97" s="4"/>
      <c r="CG97" s="126">
        <f t="shared" si="64"/>
        <v>1535095.8780499501</v>
      </c>
      <c r="CH97" s="126">
        <f t="shared" si="65"/>
        <v>632246.19195004995</v>
      </c>
      <c r="CI97" s="126"/>
      <c r="CJ97" s="126"/>
      <c r="CK97" s="9"/>
      <c r="CL97" s="9"/>
      <c r="CM97" s="127"/>
      <c r="CN97" s="9"/>
      <c r="CO97" s="9"/>
      <c r="CP97" s="9"/>
      <c r="CQ97" s="126"/>
      <c r="CR97" s="126"/>
      <c r="CS97" s="126"/>
      <c r="CT97" s="126"/>
      <c r="CU97" s="126"/>
      <c r="CV97" s="9"/>
      <c r="CW97" s="9"/>
      <c r="CX97" s="127"/>
      <c r="CY97" s="67"/>
      <c r="CZ97" s="67"/>
    </row>
    <row r="98" spans="1:104" x14ac:dyDescent="0.35">
      <c r="A98" s="143">
        <v>93</v>
      </c>
      <c r="B98" s="116" t="s">
        <v>546</v>
      </c>
      <c r="C98" s="144">
        <v>53412940.101127967</v>
      </c>
      <c r="D98" s="144">
        <v>4402686.0599999996</v>
      </c>
      <c r="E98" s="144">
        <v>2463547.39</v>
      </c>
      <c r="F98" s="145">
        <f t="shared" si="38"/>
        <v>6866233.4499999993</v>
      </c>
      <c r="G98" s="144"/>
      <c r="H98" s="144"/>
      <c r="I98" s="145"/>
      <c r="J98" s="144">
        <v>983233.7</v>
      </c>
      <c r="K98" s="144">
        <v>561037.98</v>
      </c>
      <c r="L98" s="145">
        <f t="shared" si="39"/>
        <v>1544271.68</v>
      </c>
      <c r="M98" s="146">
        <v>237492.41</v>
      </c>
      <c r="N98" s="146">
        <v>74587.490000000005</v>
      </c>
      <c r="O98" s="145">
        <f t="shared" si="40"/>
        <v>312079.90000000002</v>
      </c>
      <c r="P98" s="144">
        <v>1474653.21</v>
      </c>
      <c r="Q98" s="144">
        <v>463131.48</v>
      </c>
      <c r="R98" s="147">
        <f t="shared" si="41"/>
        <v>1937784.69</v>
      </c>
      <c r="S98" s="117">
        <v>10189.34</v>
      </c>
      <c r="T98" s="117">
        <v>0</v>
      </c>
      <c r="U98" s="146">
        <v>0</v>
      </c>
      <c r="V98" s="146">
        <v>0</v>
      </c>
      <c r="W98" s="4"/>
      <c r="X98" s="4"/>
      <c r="Y98" s="4"/>
      <c r="Z98" s="4"/>
      <c r="AA98" s="4"/>
      <c r="AB98" s="4"/>
      <c r="AC98" s="4"/>
      <c r="AD98" s="4"/>
      <c r="AE98" s="4"/>
      <c r="AF98" s="118">
        <f t="shared" si="42"/>
        <v>1544271.68</v>
      </c>
      <c r="AG98" s="112">
        <f t="shared" si="42"/>
        <v>237492.41</v>
      </c>
      <c r="AH98" s="112">
        <f t="shared" si="42"/>
        <v>74587.490000000005</v>
      </c>
      <c r="AI98" s="10">
        <f t="shared" si="43"/>
        <v>181066.35664136999</v>
      </c>
      <c r="AJ98" s="10">
        <f t="shared" si="44"/>
        <v>68035.507458730004</v>
      </c>
      <c r="AK98" s="10">
        <f t="shared" si="45"/>
        <v>581.40485369999999</v>
      </c>
      <c r="AL98" s="10">
        <f t="shared" si="46"/>
        <v>62396.631046200004</v>
      </c>
      <c r="AM98" s="10">
        <f t="shared" si="47"/>
        <v>10189.34</v>
      </c>
      <c r="AN98" s="9">
        <f t="shared" si="48"/>
        <v>0</v>
      </c>
      <c r="AO98" s="10">
        <f t="shared" si="49"/>
        <v>0</v>
      </c>
      <c r="AP98" s="66">
        <f t="shared" si="50"/>
        <v>4873822.767024586</v>
      </c>
      <c r="AQ98" s="66">
        <f t="shared" si="51"/>
        <v>1657500.0042383203</v>
      </c>
      <c r="AR98" s="66">
        <f t="shared" si="52"/>
        <v>15442.546623338387</v>
      </c>
      <c r="AS98" s="66">
        <f t="shared" si="53"/>
        <v>386063.66558345966</v>
      </c>
      <c r="AT98" s="66"/>
      <c r="AU98" s="4"/>
      <c r="AV98" s="4"/>
      <c r="AW98" s="4"/>
      <c r="AX98" s="4"/>
      <c r="AY98" s="4"/>
      <c r="AZ98" s="4"/>
      <c r="BA98" s="4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9">
        <f t="shared" si="37"/>
        <v>8799369.9034697041</v>
      </c>
      <c r="BN98" s="9">
        <f t="shared" si="66"/>
        <v>6784975.0989504764</v>
      </c>
      <c r="BO98" s="9">
        <f t="shared" si="54"/>
        <v>1998370.8530421895</v>
      </c>
      <c r="BP98" s="9">
        <f t="shared" si="55"/>
        <v>16023.951477038387</v>
      </c>
      <c r="BQ98" s="10">
        <f t="shared" si="56"/>
        <v>0</v>
      </c>
      <c r="BR98" s="9">
        <f t="shared" si="57"/>
        <v>8799369.9034697041</v>
      </c>
      <c r="BS98" s="142">
        <f t="shared" si="67"/>
        <v>6531322.7712629065</v>
      </c>
      <c r="BT98" s="83">
        <f t="shared" si="58"/>
        <v>6531323</v>
      </c>
      <c r="BU98" s="175">
        <f t="shared" si="59"/>
        <v>6.3773375276513725E-3</v>
      </c>
      <c r="BV98" s="173">
        <f t="shared" si="60"/>
        <v>1544271.68</v>
      </c>
      <c r="BW98" s="176">
        <f t="shared" si="61"/>
        <v>9.0036085897500662E-3</v>
      </c>
      <c r="BX98" s="177">
        <f t="shared" si="62"/>
        <v>0</v>
      </c>
      <c r="BY98" s="178">
        <f t="shared" si="63"/>
        <v>0</v>
      </c>
      <c r="BZ98" s="4"/>
      <c r="CA98" s="4"/>
      <c r="CB98" s="4"/>
      <c r="CC98" s="4"/>
      <c r="CD98" s="4"/>
      <c r="CE98" s="4"/>
      <c r="CF98" s="4"/>
      <c r="CG98" s="126">
        <f t="shared" si="64"/>
        <v>4863250.1591332499</v>
      </c>
      <c r="CH98" s="126">
        <f t="shared" si="65"/>
        <v>2002983.2908667498</v>
      </c>
      <c r="CI98" s="126"/>
      <c r="CJ98" s="126"/>
      <c r="CK98" s="9"/>
      <c r="CL98" s="9"/>
      <c r="CM98" s="127"/>
      <c r="CN98" s="9"/>
      <c r="CO98" s="9"/>
      <c r="CP98" s="9"/>
      <c r="CQ98" s="126"/>
      <c r="CR98" s="126"/>
      <c r="CS98" s="126"/>
      <c r="CT98" s="126"/>
      <c r="CU98" s="126"/>
      <c r="CV98" s="9"/>
      <c r="CW98" s="9"/>
      <c r="CX98" s="127"/>
      <c r="CY98" s="67"/>
      <c r="CZ98" s="67"/>
    </row>
    <row r="99" spans="1:104" x14ac:dyDescent="0.35">
      <c r="A99" s="143">
        <v>94</v>
      </c>
      <c r="B99" s="116" t="s">
        <v>547</v>
      </c>
      <c r="C99" s="144">
        <v>7357489.53714508</v>
      </c>
      <c r="D99" s="144">
        <v>685017.22</v>
      </c>
      <c r="E99" s="144">
        <v>260788.06</v>
      </c>
      <c r="F99" s="145">
        <f t="shared" si="38"/>
        <v>945805.28</v>
      </c>
      <c r="G99" s="144"/>
      <c r="H99" s="144"/>
      <c r="I99" s="145"/>
      <c r="J99" s="144">
        <v>148832.71</v>
      </c>
      <c r="K99" s="144">
        <v>53877.49</v>
      </c>
      <c r="L99" s="145">
        <f t="shared" si="39"/>
        <v>202710.19999999998</v>
      </c>
      <c r="M99" s="146">
        <v>59218.92</v>
      </c>
      <c r="N99" s="146">
        <v>37489.800000000003</v>
      </c>
      <c r="O99" s="145">
        <f t="shared" si="40"/>
        <v>96708.72</v>
      </c>
      <c r="P99" s="144">
        <v>367702.78</v>
      </c>
      <c r="Q99" s="144">
        <v>232782.04</v>
      </c>
      <c r="R99" s="147">
        <f t="shared" si="41"/>
        <v>600484.82000000007</v>
      </c>
      <c r="S99" s="117">
        <v>0</v>
      </c>
      <c r="T99" s="117">
        <v>0</v>
      </c>
      <c r="U99" s="146">
        <v>0</v>
      </c>
      <c r="V99" s="146">
        <v>0</v>
      </c>
      <c r="W99" s="4"/>
      <c r="X99" s="4"/>
      <c r="Y99" s="4"/>
      <c r="Z99" s="4"/>
      <c r="AA99" s="4"/>
      <c r="AB99" s="4"/>
      <c r="AC99" s="4"/>
      <c r="AD99" s="4"/>
      <c r="AE99" s="4"/>
      <c r="AF99" s="118">
        <f t="shared" si="42"/>
        <v>202710.19999999998</v>
      </c>
      <c r="AG99" s="112">
        <f t="shared" si="42"/>
        <v>59218.92</v>
      </c>
      <c r="AH99" s="112">
        <f t="shared" si="42"/>
        <v>37489.800000000003</v>
      </c>
      <c r="AI99" s="10">
        <f t="shared" si="43"/>
        <v>57002.322420839999</v>
      </c>
      <c r="AJ99" s="10">
        <f t="shared" si="44"/>
        <v>20190.481174439999</v>
      </c>
      <c r="AK99" s="10">
        <f t="shared" si="45"/>
        <v>180.16834535999999</v>
      </c>
      <c r="AL99" s="10">
        <f t="shared" si="46"/>
        <v>19335.748059360001</v>
      </c>
      <c r="AM99" s="10">
        <f t="shared" si="47"/>
        <v>0</v>
      </c>
      <c r="AN99" s="9">
        <f t="shared" si="48"/>
        <v>0</v>
      </c>
      <c r="AO99" s="10">
        <f t="shared" si="49"/>
        <v>0</v>
      </c>
      <c r="AP99" s="66">
        <f t="shared" si="50"/>
        <v>633184.35602332512</v>
      </c>
      <c r="AQ99" s="66">
        <f t="shared" si="51"/>
        <v>217575.55189207155</v>
      </c>
      <c r="AR99" s="66">
        <f t="shared" si="52"/>
        <v>2027.1014151435238</v>
      </c>
      <c r="AS99" s="66">
        <f t="shared" si="53"/>
        <v>50677.535378588102</v>
      </c>
      <c r="AT99" s="66"/>
      <c r="AU99" s="4"/>
      <c r="AV99" s="4"/>
      <c r="AW99" s="4"/>
      <c r="AX99" s="4"/>
      <c r="AY99" s="4"/>
      <c r="AZ99" s="4"/>
      <c r="BA99" s="4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9">
        <f t="shared" si="37"/>
        <v>1202883.4647091283</v>
      </c>
      <c r="BN99" s="9">
        <f t="shared" si="66"/>
        <v>927097.97839559661</v>
      </c>
      <c r="BO99" s="9">
        <f t="shared" si="54"/>
        <v>273578.21655302809</v>
      </c>
      <c r="BP99" s="9">
        <f t="shared" si="55"/>
        <v>2207.2697605035237</v>
      </c>
      <c r="BQ99" s="10">
        <f t="shared" si="56"/>
        <v>0</v>
      </c>
      <c r="BR99" s="9">
        <f t="shared" si="57"/>
        <v>1202883.4647091283</v>
      </c>
      <c r="BS99" s="142">
        <f t="shared" si="67"/>
        <v>850759.90791539662</v>
      </c>
      <c r="BT99" s="83">
        <f t="shared" si="58"/>
        <v>850760</v>
      </c>
      <c r="BU99" s="175">
        <f t="shared" si="59"/>
        <v>8.3070203047414014E-4</v>
      </c>
      <c r="BV99" s="173">
        <f t="shared" si="60"/>
        <v>202710.19999999998</v>
      </c>
      <c r="BW99" s="176">
        <f t="shared" si="61"/>
        <v>1.1818667152854567E-3</v>
      </c>
      <c r="BX99" s="177">
        <f t="shared" si="62"/>
        <v>0</v>
      </c>
      <c r="BY99" s="178">
        <f t="shared" si="63"/>
        <v>0</v>
      </c>
      <c r="BZ99" s="4"/>
      <c r="CA99" s="4"/>
      <c r="CB99" s="4"/>
      <c r="CC99" s="4"/>
      <c r="CD99" s="4"/>
      <c r="CE99" s="4"/>
      <c r="CF99" s="4"/>
      <c r="CG99" s="126">
        <f t="shared" si="64"/>
        <v>669899.69274480001</v>
      </c>
      <c r="CH99" s="126">
        <f t="shared" si="65"/>
        <v>275905.58725519996</v>
      </c>
      <c r="CI99" s="126"/>
      <c r="CJ99" s="126"/>
      <c r="CK99" s="9"/>
      <c r="CL99" s="9"/>
      <c r="CM99" s="127"/>
      <c r="CN99" s="9"/>
      <c r="CO99" s="9"/>
      <c r="CP99" s="9"/>
      <c r="CQ99" s="126"/>
      <c r="CR99" s="126"/>
      <c r="CS99" s="126"/>
      <c r="CT99" s="126"/>
      <c r="CU99" s="126"/>
      <c r="CV99" s="9"/>
      <c r="CW99" s="9"/>
      <c r="CX99" s="127"/>
      <c r="CY99" s="67"/>
      <c r="CZ99" s="67"/>
    </row>
    <row r="100" spans="1:104" x14ac:dyDescent="0.35">
      <c r="A100" s="143">
        <v>95</v>
      </c>
      <c r="B100" s="116" t="s">
        <v>548</v>
      </c>
      <c r="C100" s="144">
        <v>3551292.4931933102</v>
      </c>
      <c r="D100" s="144">
        <v>366986.8</v>
      </c>
      <c r="E100" s="144">
        <v>89531.85</v>
      </c>
      <c r="F100" s="145">
        <f t="shared" si="38"/>
        <v>456518.65</v>
      </c>
      <c r="G100" s="144"/>
      <c r="H100" s="144"/>
      <c r="I100" s="145"/>
      <c r="J100" s="144">
        <v>64514.51</v>
      </c>
      <c r="K100" s="144">
        <v>16092.36</v>
      </c>
      <c r="L100" s="145">
        <f t="shared" si="39"/>
        <v>80606.87</v>
      </c>
      <c r="M100" s="146">
        <v>113434.31</v>
      </c>
      <c r="N100" s="146">
        <v>25778.76</v>
      </c>
      <c r="O100" s="145">
        <f t="shared" si="40"/>
        <v>139213.07</v>
      </c>
      <c r="P100" s="144">
        <v>704342.72</v>
      </c>
      <c r="Q100" s="144">
        <v>160066.72</v>
      </c>
      <c r="R100" s="147">
        <f t="shared" si="41"/>
        <v>864409.44</v>
      </c>
      <c r="S100" s="117">
        <v>0</v>
      </c>
      <c r="T100" s="117">
        <v>0</v>
      </c>
      <c r="U100" s="146">
        <v>0</v>
      </c>
      <c r="V100" s="146">
        <v>0</v>
      </c>
      <c r="W100" s="4"/>
      <c r="X100" s="4"/>
      <c r="Y100" s="4"/>
      <c r="Z100" s="4"/>
      <c r="AA100" s="4"/>
      <c r="AB100" s="4"/>
      <c r="AC100" s="4"/>
      <c r="AD100" s="4"/>
      <c r="AE100" s="4"/>
      <c r="AF100" s="118">
        <f t="shared" si="42"/>
        <v>80606.87</v>
      </c>
      <c r="AG100" s="112">
        <f t="shared" si="42"/>
        <v>113434.31</v>
      </c>
      <c r="AH100" s="112">
        <f t="shared" si="42"/>
        <v>25778.76</v>
      </c>
      <c r="AI100" s="10">
        <f t="shared" si="43"/>
        <v>80305.068095319992</v>
      </c>
      <c r="AJ100" s="10">
        <f t="shared" si="44"/>
        <v>30814.66516561</v>
      </c>
      <c r="AK100" s="10">
        <f t="shared" si="45"/>
        <v>259.35394940999998</v>
      </c>
      <c r="AL100" s="10">
        <f t="shared" si="46"/>
        <v>27833.98278966</v>
      </c>
      <c r="AM100" s="10">
        <f t="shared" si="47"/>
        <v>0</v>
      </c>
      <c r="AN100" s="9">
        <f t="shared" si="48"/>
        <v>0</v>
      </c>
      <c r="AO100" s="10">
        <f t="shared" si="49"/>
        <v>0</v>
      </c>
      <c r="AP100" s="66">
        <f t="shared" si="50"/>
        <v>250004.78391810504</v>
      </c>
      <c r="AQ100" s="66">
        <f t="shared" si="51"/>
        <v>86517.634312824594</v>
      </c>
      <c r="AR100" s="66">
        <f t="shared" si="52"/>
        <v>806.06491595799298</v>
      </c>
      <c r="AS100" s="66">
        <f t="shared" si="53"/>
        <v>20151.622898949827</v>
      </c>
      <c r="AT100" s="66"/>
      <c r="AU100" s="4"/>
      <c r="AV100" s="4"/>
      <c r="AW100" s="4"/>
      <c r="AX100" s="4"/>
      <c r="AY100" s="4"/>
      <c r="AZ100" s="4"/>
      <c r="BA100" s="4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9">
        <f t="shared" si="37"/>
        <v>577300.04604583746</v>
      </c>
      <c r="BN100" s="9">
        <f t="shared" si="66"/>
        <v>444661.4691159096</v>
      </c>
      <c r="BO100" s="9">
        <f t="shared" si="54"/>
        <v>131573.15806455983</v>
      </c>
      <c r="BP100" s="9">
        <f t="shared" si="55"/>
        <v>1065.418865367993</v>
      </c>
      <c r="BQ100" s="10">
        <f t="shared" si="56"/>
        <v>0</v>
      </c>
      <c r="BR100" s="9">
        <f t="shared" si="57"/>
        <v>577300.04604583746</v>
      </c>
      <c r="BS100" s="142">
        <f t="shared" si="67"/>
        <v>336522.41823092964</v>
      </c>
      <c r="BT100" s="83">
        <f t="shared" si="58"/>
        <v>336522</v>
      </c>
      <c r="BU100" s="175">
        <f t="shared" si="59"/>
        <v>3.2858842256621801E-4</v>
      </c>
      <c r="BV100" s="173">
        <f t="shared" si="60"/>
        <v>80606.87</v>
      </c>
      <c r="BW100" s="176">
        <f t="shared" si="61"/>
        <v>4.6996439585349838E-4</v>
      </c>
      <c r="BX100" s="177">
        <f t="shared" si="62"/>
        <v>0</v>
      </c>
      <c r="BY100" s="178">
        <f t="shared" si="63"/>
        <v>0</v>
      </c>
      <c r="BZ100" s="4"/>
      <c r="CA100" s="4"/>
      <c r="CB100" s="4"/>
      <c r="CC100" s="4"/>
      <c r="CD100" s="4"/>
      <c r="CE100" s="4"/>
      <c r="CF100" s="4"/>
      <c r="CG100" s="126">
        <f t="shared" si="64"/>
        <v>323345.31201525003</v>
      </c>
      <c r="CH100" s="126">
        <f t="shared" si="65"/>
        <v>133173.33798474999</v>
      </c>
      <c r="CI100" s="126"/>
      <c r="CJ100" s="126"/>
      <c r="CK100" s="9"/>
      <c r="CL100" s="9"/>
      <c r="CM100" s="127"/>
      <c r="CN100" s="9"/>
      <c r="CO100" s="9"/>
      <c r="CP100" s="9"/>
      <c r="CQ100" s="126"/>
      <c r="CR100" s="126"/>
      <c r="CS100" s="126"/>
      <c r="CT100" s="126"/>
      <c r="CU100" s="126"/>
      <c r="CV100" s="9"/>
      <c r="CW100" s="9"/>
      <c r="CX100" s="127"/>
      <c r="CY100" s="67"/>
      <c r="CZ100" s="67"/>
    </row>
    <row r="101" spans="1:104" x14ac:dyDescent="0.35">
      <c r="A101" s="143">
        <v>96</v>
      </c>
      <c r="B101" s="116" t="s">
        <v>549</v>
      </c>
      <c r="C101" s="144">
        <v>9684442.0070011672</v>
      </c>
      <c r="D101" s="144">
        <v>952181.82</v>
      </c>
      <c r="E101" s="144">
        <v>292753.2</v>
      </c>
      <c r="F101" s="145">
        <f t="shared" si="38"/>
        <v>1244935.02</v>
      </c>
      <c r="G101" s="144"/>
      <c r="H101" s="144"/>
      <c r="I101" s="145"/>
      <c r="J101" s="144">
        <v>208528.89</v>
      </c>
      <c r="K101" s="144">
        <v>58859.05</v>
      </c>
      <c r="L101" s="145">
        <f t="shared" si="39"/>
        <v>267387.94</v>
      </c>
      <c r="M101" s="146">
        <v>73473.070000000007</v>
      </c>
      <c r="N101" s="146">
        <v>50795.09</v>
      </c>
      <c r="O101" s="145">
        <f t="shared" si="40"/>
        <v>124268.16</v>
      </c>
      <c r="P101" s="144">
        <v>456213.66</v>
      </c>
      <c r="Q101" s="144">
        <v>315399.77</v>
      </c>
      <c r="R101" s="147">
        <f t="shared" si="41"/>
        <v>771613.42999999993</v>
      </c>
      <c r="S101" s="117">
        <v>0</v>
      </c>
      <c r="T101" s="117">
        <v>0</v>
      </c>
      <c r="U101" s="146">
        <v>0</v>
      </c>
      <c r="V101" s="146">
        <v>0</v>
      </c>
      <c r="W101" s="4"/>
      <c r="X101" s="4"/>
      <c r="Y101" s="4"/>
      <c r="Z101" s="4"/>
      <c r="AA101" s="4"/>
      <c r="AB101" s="4"/>
      <c r="AC101" s="4"/>
      <c r="AD101" s="4"/>
      <c r="AE101" s="4"/>
      <c r="AF101" s="118">
        <f t="shared" si="42"/>
        <v>267387.94</v>
      </c>
      <c r="AG101" s="112">
        <f t="shared" si="42"/>
        <v>73473.070000000007</v>
      </c>
      <c r="AH101" s="112">
        <f t="shared" si="42"/>
        <v>50795.09</v>
      </c>
      <c r="AI101" s="10">
        <f t="shared" si="43"/>
        <v>73409.272315690003</v>
      </c>
      <c r="AJ101" s="10">
        <f t="shared" si="44"/>
        <v>25781.448728149997</v>
      </c>
      <c r="AK101" s="10">
        <f t="shared" si="45"/>
        <v>231.51158208000004</v>
      </c>
      <c r="AL101" s="10">
        <f t="shared" si="46"/>
        <v>24845.927374080002</v>
      </c>
      <c r="AM101" s="10">
        <f t="shared" si="47"/>
        <v>0</v>
      </c>
      <c r="AN101" s="9">
        <f t="shared" si="48"/>
        <v>0</v>
      </c>
      <c r="AO101" s="10">
        <f t="shared" si="49"/>
        <v>0</v>
      </c>
      <c r="AP101" s="66">
        <f t="shared" si="50"/>
        <v>831132.53315077536</v>
      </c>
      <c r="AQ101" s="66">
        <f t="shared" si="51"/>
        <v>286993.08017943753</v>
      </c>
      <c r="AR101" s="66">
        <f t="shared" si="52"/>
        <v>2673.8485731003498</v>
      </c>
      <c r="AS101" s="66">
        <f t="shared" si="53"/>
        <v>66846.214327508744</v>
      </c>
      <c r="AT101" s="66"/>
      <c r="AU101" s="4"/>
      <c r="AV101" s="4"/>
      <c r="AW101" s="4"/>
      <c r="AX101" s="4"/>
      <c r="AY101" s="4"/>
      <c r="AZ101" s="4"/>
      <c r="BA101" s="4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9">
        <f t="shared" si="37"/>
        <v>1579301.7762308221</v>
      </c>
      <c r="BN101" s="9">
        <f t="shared" si="66"/>
        <v>1216380.813019983</v>
      </c>
      <c r="BO101" s="9">
        <f t="shared" si="54"/>
        <v>360015.60305565875</v>
      </c>
      <c r="BP101" s="9">
        <f t="shared" si="55"/>
        <v>2905.3601551803499</v>
      </c>
      <c r="BQ101" s="10">
        <f t="shared" si="56"/>
        <v>0</v>
      </c>
      <c r="BR101" s="9">
        <f t="shared" si="57"/>
        <v>1579301.7762308221</v>
      </c>
      <c r="BS101" s="142">
        <f t="shared" si="67"/>
        <v>1118125.6133302129</v>
      </c>
      <c r="BT101" s="83">
        <f t="shared" si="58"/>
        <v>1118126</v>
      </c>
      <c r="BU101" s="175">
        <f t="shared" si="59"/>
        <v>1.0917642082999028E-3</v>
      </c>
      <c r="BV101" s="173">
        <f t="shared" si="60"/>
        <v>267387.94</v>
      </c>
      <c r="BW101" s="176">
        <f t="shared" si="61"/>
        <v>1.5589590773170013E-3</v>
      </c>
      <c r="BX101" s="177">
        <f t="shared" si="62"/>
        <v>0</v>
      </c>
      <c r="BY101" s="178">
        <f t="shared" si="63"/>
        <v>0</v>
      </c>
      <c r="BZ101" s="4"/>
      <c r="CA101" s="4"/>
      <c r="CB101" s="4"/>
      <c r="CC101" s="4"/>
      <c r="CD101" s="4"/>
      <c r="CE101" s="4"/>
      <c r="CF101" s="4"/>
      <c r="CG101" s="126">
        <f t="shared" si="64"/>
        <v>881768.80064070015</v>
      </c>
      <c r="CH101" s="126">
        <f t="shared" si="65"/>
        <v>363166.21935929998</v>
      </c>
      <c r="CI101" s="126"/>
      <c r="CJ101" s="126"/>
      <c r="CK101" s="9"/>
      <c r="CL101" s="9"/>
      <c r="CM101" s="127"/>
      <c r="CN101" s="9"/>
      <c r="CO101" s="9"/>
      <c r="CP101" s="9"/>
      <c r="CQ101" s="126"/>
      <c r="CR101" s="126"/>
      <c r="CS101" s="126"/>
      <c r="CT101" s="126"/>
      <c r="CU101" s="126"/>
      <c r="CV101" s="9"/>
      <c r="CW101" s="9"/>
      <c r="CX101" s="127"/>
      <c r="CY101" s="67"/>
      <c r="CZ101" s="67"/>
    </row>
    <row r="102" spans="1:104" x14ac:dyDescent="0.35">
      <c r="A102" s="143">
        <v>97</v>
      </c>
      <c r="B102" s="116" t="s">
        <v>550</v>
      </c>
      <c r="C102" s="144">
        <v>17194336.211590819</v>
      </c>
      <c r="D102" s="144">
        <v>1787693.71</v>
      </c>
      <c r="E102" s="144">
        <v>422638.21</v>
      </c>
      <c r="F102" s="145">
        <f t="shared" si="38"/>
        <v>2210331.92</v>
      </c>
      <c r="G102" s="144"/>
      <c r="H102" s="144"/>
      <c r="I102" s="145"/>
      <c r="J102" s="144">
        <v>368404.82</v>
      </c>
      <c r="K102" s="144">
        <v>86759.88</v>
      </c>
      <c r="L102" s="145">
        <f t="shared" si="39"/>
        <v>455164.7</v>
      </c>
      <c r="M102" s="146">
        <v>261951.51</v>
      </c>
      <c r="N102" s="146">
        <v>63727.59</v>
      </c>
      <c r="O102" s="145">
        <f t="shared" si="40"/>
        <v>325679.09999999998</v>
      </c>
      <c r="P102" s="144">
        <v>1626522.95</v>
      </c>
      <c r="Q102" s="144">
        <v>395701.97</v>
      </c>
      <c r="R102" s="147">
        <f t="shared" si="41"/>
        <v>2022224.92</v>
      </c>
      <c r="S102" s="117">
        <v>0</v>
      </c>
      <c r="T102" s="117">
        <v>0</v>
      </c>
      <c r="U102" s="146">
        <v>0</v>
      </c>
      <c r="V102" s="146">
        <v>0</v>
      </c>
      <c r="W102" s="4"/>
      <c r="X102" s="4"/>
      <c r="Y102" s="4"/>
      <c r="Z102" s="4"/>
      <c r="AA102" s="4"/>
      <c r="AB102" s="4"/>
      <c r="AC102" s="4"/>
      <c r="AD102" s="4"/>
      <c r="AE102" s="4"/>
      <c r="AF102" s="118">
        <f t="shared" si="42"/>
        <v>455164.7</v>
      </c>
      <c r="AG102" s="112">
        <f t="shared" si="42"/>
        <v>261951.51</v>
      </c>
      <c r="AH102" s="112">
        <f t="shared" si="42"/>
        <v>63727.59</v>
      </c>
      <c r="AI102" s="10">
        <f t="shared" si="43"/>
        <v>188080.36778907001</v>
      </c>
      <c r="AJ102" s="10">
        <f t="shared" si="44"/>
        <v>71876.364151829999</v>
      </c>
      <c r="AK102" s="10">
        <f t="shared" si="45"/>
        <v>606.74016330000006</v>
      </c>
      <c r="AL102" s="10">
        <f t="shared" si="46"/>
        <v>65115.627895800004</v>
      </c>
      <c r="AM102" s="10">
        <f t="shared" si="47"/>
        <v>0</v>
      </c>
      <c r="AN102" s="9">
        <f t="shared" si="48"/>
        <v>0</v>
      </c>
      <c r="AO102" s="10">
        <f t="shared" si="49"/>
        <v>0</v>
      </c>
      <c r="AP102" s="66">
        <f t="shared" si="50"/>
        <v>1410341.0537338443</v>
      </c>
      <c r="AQ102" s="66">
        <f t="shared" si="51"/>
        <v>488541.98358922446</v>
      </c>
      <c r="AR102" s="66">
        <f t="shared" si="52"/>
        <v>4551.6333874772463</v>
      </c>
      <c r="AS102" s="66">
        <f t="shared" si="53"/>
        <v>113790.83468693115</v>
      </c>
      <c r="AT102" s="66"/>
      <c r="AU102" s="4"/>
      <c r="AV102" s="4"/>
      <c r="AW102" s="4"/>
      <c r="AX102" s="4"/>
      <c r="AY102" s="4"/>
      <c r="AZ102" s="4"/>
      <c r="BA102" s="4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9">
        <f t="shared" si="37"/>
        <v>2798069.3053974775</v>
      </c>
      <c r="BN102" s="9">
        <f t="shared" si="66"/>
        <v>2152079.0330079389</v>
      </c>
      <c r="BO102" s="9">
        <f t="shared" si="54"/>
        <v>640831.89883876115</v>
      </c>
      <c r="BP102" s="9">
        <f t="shared" si="55"/>
        <v>5158.3735507772462</v>
      </c>
      <c r="BQ102" s="10">
        <f t="shared" si="56"/>
        <v>0</v>
      </c>
      <c r="BR102" s="9">
        <f t="shared" si="57"/>
        <v>2798069.3053974775</v>
      </c>
      <c r="BS102" s="142">
        <f t="shared" si="67"/>
        <v>1898883.0373230688</v>
      </c>
      <c r="BT102" s="83">
        <f t="shared" si="58"/>
        <v>1898883</v>
      </c>
      <c r="BU102" s="175">
        <f t="shared" si="59"/>
        <v>1.8541141631864958E-3</v>
      </c>
      <c r="BV102" s="173">
        <f t="shared" si="60"/>
        <v>455164.7</v>
      </c>
      <c r="BW102" s="176">
        <f t="shared" si="61"/>
        <v>2.6537589568896404E-3</v>
      </c>
      <c r="BX102" s="177">
        <f t="shared" si="62"/>
        <v>0</v>
      </c>
      <c r="BY102" s="178">
        <f t="shared" si="63"/>
        <v>0</v>
      </c>
      <c r="BZ102" s="4"/>
      <c r="CA102" s="4"/>
      <c r="CB102" s="4"/>
      <c r="CC102" s="4"/>
      <c r="CD102" s="4"/>
      <c r="CE102" s="4"/>
      <c r="CF102" s="4"/>
      <c r="CG102" s="126">
        <f t="shared" si="64"/>
        <v>1565544.9439572</v>
      </c>
      <c r="CH102" s="126">
        <f t="shared" si="65"/>
        <v>644786.9760428</v>
      </c>
      <c r="CI102" s="126"/>
      <c r="CJ102" s="126"/>
      <c r="CK102" s="9"/>
      <c r="CL102" s="9"/>
      <c r="CM102" s="127"/>
      <c r="CN102" s="9"/>
      <c r="CO102" s="9"/>
      <c r="CP102" s="9"/>
      <c r="CQ102" s="126"/>
      <c r="CR102" s="126"/>
      <c r="CS102" s="126"/>
      <c r="CT102" s="126"/>
      <c r="CU102" s="126"/>
      <c r="CV102" s="9"/>
      <c r="CW102" s="9"/>
      <c r="CX102" s="127"/>
      <c r="CY102" s="67"/>
      <c r="CZ102" s="67"/>
    </row>
    <row r="103" spans="1:104" x14ac:dyDescent="0.35">
      <c r="A103" s="143">
        <v>98</v>
      </c>
      <c r="B103" s="116" t="s">
        <v>551</v>
      </c>
      <c r="C103" s="144">
        <v>38201844.574095681</v>
      </c>
      <c r="D103" s="144">
        <v>3964939.21</v>
      </c>
      <c r="E103" s="144">
        <v>945907.91</v>
      </c>
      <c r="F103" s="145">
        <f t="shared" si="38"/>
        <v>4910847.12</v>
      </c>
      <c r="G103" s="144"/>
      <c r="H103" s="144"/>
      <c r="I103" s="145"/>
      <c r="J103" s="144">
        <v>846050.41</v>
      </c>
      <c r="K103" s="144">
        <v>205874.16</v>
      </c>
      <c r="L103" s="145">
        <f t="shared" si="39"/>
        <v>1051924.57</v>
      </c>
      <c r="M103" s="146">
        <v>425472.81</v>
      </c>
      <c r="N103" s="146">
        <v>79858.92</v>
      </c>
      <c r="O103" s="145">
        <f t="shared" si="40"/>
        <v>505331.73</v>
      </c>
      <c r="P103" s="144">
        <v>2641872.2599999998</v>
      </c>
      <c r="Q103" s="144">
        <v>495863.18</v>
      </c>
      <c r="R103" s="147">
        <f t="shared" si="41"/>
        <v>3137735.44</v>
      </c>
      <c r="S103" s="117">
        <v>0</v>
      </c>
      <c r="T103" s="117">
        <v>0</v>
      </c>
      <c r="U103" s="146">
        <v>0</v>
      </c>
      <c r="V103" s="146">
        <v>0</v>
      </c>
      <c r="W103" s="4"/>
      <c r="X103" s="4"/>
      <c r="Y103" s="4"/>
      <c r="Z103" s="4"/>
      <c r="AA103" s="4"/>
      <c r="AB103" s="4"/>
      <c r="AC103" s="4"/>
      <c r="AD103" s="4"/>
      <c r="AE103" s="4"/>
      <c r="AF103" s="118">
        <f t="shared" si="42"/>
        <v>1051924.57</v>
      </c>
      <c r="AG103" s="112">
        <f t="shared" si="42"/>
        <v>425472.81</v>
      </c>
      <c r="AH103" s="112">
        <f t="shared" si="42"/>
        <v>79858.92</v>
      </c>
      <c r="AI103" s="10">
        <f t="shared" si="43"/>
        <v>290648.98413851997</v>
      </c>
      <c r="AJ103" s="10">
        <f t="shared" si="44"/>
        <v>112706.29741575</v>
      </c>
      <c r="AK103" s="10">
        <f t="shared" si="45"/>
        <v>941.43301299000007</v>
      </c>
      <c r="AL103" s="10">
        <f t="shared" si="46"/>
        <v>101035.01543274001</v>
      </c>
      <c r="AM103" s="10">
        <f t="shared" si="47"/>
        <v>0</v>
      </c>
      <c r="AN103" s="9">
        <f t="shared" si="48"/>
        <v>0</v>
      </c>
      <c r="AO103" s="10">
        <f t="shared" si="49"/>
        <v>0</v>
      </c>
      <c r="AP103" s="66">
        <f t="shared" si="50"/>
        <v>3261211.3838948072</v>
      </c>
      <c r="AQ103" s="66">
        <f t="shared" si="51"/>
        <v>1129064.314117881</v>
      </c>
      <c r="AR103" s="66">
        <f t="shared" si="52"/>
        <v>10519.232740228705</v>
      </c>
      <c r="AS103" s="66">
        <f t="shared" si="53"/>
        <v>262980.81850571762</v>
      </c>
      <c r="AT103" s="66"/>
      <c r="AU103" s="4"/>
      <c r="AV103" s="4"/>
      <c r="AW103" s="4"/>
      <c r="AX103" s="4"/>
      <c r="AY103" s="4"/>
      <c r="AZ103" s="4"/>
      <c r="BA103" s="4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9">
        <f t="shared" si="37"/>
        <v>6221032.0492586344</v>
      </c>
      <c r="BN103" s="9">
        <f t="shared" si="66"/>
        <v>4781959.6975839483</v>
      </c>
      <c r="BO103" s="9">
        <f t="shared" si="54"/>
        <v>1427611.6859214678</v>
      </c>
      <c r="BP103" s="9">
        <f t="shared" si="55"/>
        <v>11460.665753218706</v>
      </c>
      <c r="BQ103" s="10">
        <f t="shared" si="56"/>
        <v>0</v>
      </c>
      <c r="BR103" s="9">
        <f t="shared" si="57"/>
        <v>6221032.0492586344</v>
      </c>
      <c r="BS103" s="142">
        <f t="shared" si="67"/>
        <v>4390275.6980126882</v>
      </c>
      <c r="BT103" s="83">
        <f t="shared" si="58"/>
        <v>4390276</v>
      </c>
      <c r="BU103" s="175">
        <f t="shared" si="59"/>
        <v>4.2867686908479568E-3</v>
      </c>
      <c r="BV103" s="173">
        <f t="shared" si="60"/>
        <v>1051924.57</v>
      </c>
      <c r="BW103" s="176">
        <f t="shared" si="61"/>
        <v>6.1330640306899538E-3</v>
      </c>
      <c r="BX103" s="177">
        <f t="shared" si="62"/>
        <v>0</v>
      </c>
      <c r="BY103" s="178">
        <f t="shared" si="63"/>
        <v>0</v>
      </c>
      <c r="BZ103" s="4"/>
      <c r="CA103" s="4"/>
      <c r="CB103" s="4"/>
      <c r="CC103" s="4"/>
      <c r="CD103" s="4"/>
      <c r="CE103" s="4"/>
      <c r="CF103" s="4"/>
      <c r="CG103" s="126">
        <f t="shared" si="64"/>
        <v>3478279.3523892001</v>
      </c>
      <c r="CH103" s="126">
        <f t="shared" si="65"/>
        <v>1432567.7676108</v>
      </c>
      <c r="CI103" s="126"/>
      <c r="CJ103" s="126"/>
      <c r="CK103" s="9"/>
      <c r="CL103" s="9"/>
      <c r="CM103" s="127"/>
      <c r="CN103" s="9"/>
      <c r="CO103" s="9"/>
      <c r="CP103" s="9"/>
      <c r="CQ103" s="126"/>
      <c r="CR103" s="126"/>
      <c r="CS103" s="126"/>
      <c r="CT103" s="126"/>
      <c r="CU103" s="126"/>
      <c r="CV103" s="9"/>
      <c r="CW103" s="9"/>
      <c r="CX103" s="127"/>
      <c r="CY103" s="67"/>
      <c r="CZ103" s="67"/>
    </row>
    <row r="104" spans="1:104" x14ac:dyDescent="0.35">
      <c r="A104" s="143">
        <v>99</v>
      </c>
      <c r="B104" s="116" t="s">
        <v>552</v>
      </c>
      <c r="C104" s="144">
        <v>10216180.552314274</v>
      </c>
      <c r="D104" s="144">
        <v>1026073.25</v>
      </c>
      <c r="E104" s="144">
        <v>287216.76</v>
      </c>
      <c r="F104" s="145">
        <f t="shared" si="38"/>
        <v>1313290.01</v>
      </c>
      <c r="G104" s="144"/>
      <c r="H104" s="144"/>
      <c r="I104" s="145"/>
      <c r="J104" s="144">
        <v>218722.71</v>
      </c>
      <c r="K104" s="144">
        <v>58421.52</v>
      </c>
      <c r="L104" s="145">
        <f t="shared" si="39"/>
        <v>277144.23</v>
      </c>
      <c r="M104" s="146">
        <v>111307.19</v>
      </c>
      <c r="N104" s="146">
        <v>46203.11</v>
      </c>
      <c r="O104" s="145">
        <f t="shared" si="40"/>
        <v>157510.29999999999</v>
      </c>
      <c r="P104" s="144">
        <v>691137.2</v>
      </c>
      <c r="Q104" s="144">
        <v>286887.84999999998</v>
      </c>
      <c r="R104" s="147">
        <f t="shared" si="41"/>
        <v>978025.04999999993</v>
      </c>
      <c r="S104" s="117">
        <v>0</v>
      </c>
      <c r="T104" s="117">
        <v>0</v>
      </c>
      <c r="U104" s="146">
        <v>0</v>
      </c>
      <c r="V104" s="146">
        <v>569.55999999999995</v>
      </c>
      <c r="W104" s="4"/>
      <c r="X104" s="4"/>
      <c r="Y104" s="4"/>
      <c r="Z104" s="4"/>
      <c r="AA104" s="4"/>
      <c r="AB104" s="4"/>
      <c r="AC104" s="4"/>
      <c r="AD104" s="4"/>
      <c r="AE104" s="4"/>
      <c r="AF104" s="118">
        <f t="shared" si="42"/>
        <v>277144.23</v>
      </c>
      <c r="AG104" s="112">
        <f t="shared" si="42"/>
        <v>111307.19</v>
      </c>
      <c r="AH104" s="112">
        <f t="shared" si="42"/>
        <v>46203.11</v>
      </c>
      <c r="AI104" s="10">
        <f t="shared" si="43"/>
        <v>91917.652834830005</v>
      </c>
      <c r="AJ104" s="10">
        <f t="shared" si="44"/>
        <v>33806.911114870003</v>
      </c>
      <c r="AK104" s="10">
        <f t="shared" si="45"/>
        <v>293.44168890000003</v>
      </c>
      <c r="AL104" s="10">
        <f t="shared" si="46"/>
        <v>31492.294361400003</v>
      </c>
      <c r="AM104" s="10">
        <f t="shared" si="47"/>
        <v>0</v>
      </c>
      <c r="AN104" s="9">
        <f t="shared" si="48"/>
        <v>0</v>
      </c>
      <c r="AO104" s="10">
        <f t="shared" si="49"/>
        <v>0</v>
      </c>
      <c r="AP104" s="66">
        <f t="shared" si="50"/>
        <v>860607.98511990369</v>
      </c>
      <c r="AQ104" s="66">
        <f t="shared" si="51"/>
        <v>297468.60717451962</v>
      </c>
      <c r="AR104" s="66">
        <f t="shared" si="52"/>
        <v>2771.4466506942822</v>
      </c>
      <c r="AS104" s="66">
        <f t="shared" si="53"/>
        <v>69286.166267357054</v>
      </c>
      <c r="AT104" s="66"/>
      <c r="AU104" s="4"/>
      <c r="AV104" s="4"/>
      <c r="AW104" s="4"/>
      <c r="AX104" s="4"/>
      <c r="AY104" s="4"/>
      <c r="AZ104" s="4"/>
      <c r="BA104" s="4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9">
        <f t="shared" si="37"/>
        <v>1664788.7352124748</v>
      </c>
      <c r="BN104" s="9">
        <f t="shared" si="66"/>
        <v>1281486.5394906534</v>
      </c>
      <c r="BO104" s="9">
        <f t="shared" si="54"/>
        <v>380237.30738222704</v>
      </c>
      <c r="BP104" s="9">
        <f t="shared" si="55"/>
        <v>3064.8883395942821</v>
      </c>
      <c r="BQ104" s="10">
        <f t="shared" si="56"/>
        <v>0</v>
      </c>
      <c r="BR104" s="9">
        <f t="shared" si="57"/>
        <v>1664788.7352124748</v>
      </c>
      <c r="BS104" s="142">
        <f t="shared" si="67"/>
        <v>1158076.5922944234</v>
      </c>
      <c r="BT104" s="83">
        <f t="shared" si="58"/>
        <v>1158077</v>
      </c>
      <c r="BU104" s="175">
        <f t="shared" si="59"/>
        <v>1.1307732859917722E-3</v>
      </c>
      <c r="BV104" s="173">
        <f t="shared" si="60"/>
        <v>277144.23</v>
      </c>
      <c r="BW104" s="176">
        <f t="shared" si="61"/>
        <v>1.6158414365454582E-3</v>
      </c>
      <c r="BX104" s="177">
        <f t="shared" si="62"/>
        <v>0</v>
      </c>
      <c r="BY104" s="178">
        <f t="shared" si="63"/>
        <v>0</v>
      </c>
      <c r="BZ104" s="4"/>
      <c r="CA104" s="4"/>
      <c r="CB104" s="4"/>
      <c r="CC104" s="4"/>
      <c r="CD104" s="4"/>
      <c r="CE104" s="4"/>
      <c r="CF104" s="4"/>
      <c r="CG104" s="126">
        <f t="shared" si="64"/>
        <v>930183.61473285011</v>
      </c>
      <c r="CH104" s="126">
        <f t="shared" si="65"/>
        <v>383106.39526715002</v>
      </c>
      <c r="CI104" s="126"/>
      <c r="CJ104" s="126"/>
      <c r="CK104" s="9"/>
      <c r="CL104" s="9"/>
      <c r="CM104" s="127"/>
      <c r="CN104" s="9"/>
      <c r="CO104" s="9"/>
      <c r="CP104" s="9"/>
      <c r="CQ104" s="126"/>
      <c r="CR104" s="126"/>
      <c r="CS104" s="126"/>
      <c r="CT104" s="126"/>
      <c r="CU104" s="126"/>
      <c r="CV104" s="9"/>
      <c r="CW104" s="9"/>
      <c r="CX104" s="127"/>
      <c r="CY104" s="67"/>
      <c r="CZ104" s="67"/>
    </row>
    <row r="105" spans="1:104" x14ac:dyDescent="0.35">
      <c r="A105" s="143">
        <v>100</v>
      </c>
      <c r="B105" s="116" t="s">
        <v>553</v>
      </c>
      <c r="C105" s="144">
        <v>34198677.479579933</v>
      </c>
      <c r="D105" s="144">
        <v>3476445.73</v>
      </c>
      <c r="E105" s="144">
        <v>919794.26</v>
      </c>
      <c r="F105" s="145">
        <f t="shared" si="38"/>
        <v>4396239.99</v>
      </c>
      <c r="G105" s="144"/>
      <c r="H105" s="144"/>
      <c r="I105" s="145"/>
      <c r="J105" s="144">
        <v>728598.2</v>
      </c>
      <c r="K105" s="144">
        <v>197689.71</v>
      </c>
      <c r="L105" s="145">
        <f t="shared" si="39"/>
        <v>926287.90999999992</v>
      </c>
      <c r="M105" s="146">
        <v>443973.61</v>
      </c>
      <c r="N105" s="146">
        <v>91080.31</v>
      </c>
      <c r="O105" s="145">
        <f t="shared" si="40"/>
        <v>535053.91999999993</v>
      </c>
      <c r="P105" s="144">
        <v>2756750.43</v>
      </c>
      <c r="Q105" s="144">
        <v>565543.81000000006</v>
      </c>
      <c r="R105" s="147">
        <f t="shared" si="41"/>
        <v>3322294.24</v>
      </c>
      <c r="S105" s="117">
        <v>0</v>
      </c>
      <c r="T105" s="117">
        <v>0</v>
      </c>
      <c r="U105" s="146">
        <v>0</v>
      </c>
      <c r="V105" s="146">
        <v>0</v>
      </c>
      <c r="W105" s="4"/>
      <c r="X105" s="4"/>
      <c r="Y105" s="4"/>
      <c r="Z105" s="4"/>
      <c r="AA105" s="4"/>
      <c r="AB105" s="4"/>
      <c r="AC105" s="4"/>
      <c r="AD105" s="4"/>
      <c r="AE105" s="4"/>
      <c r="AF105" s="118">
        <f t="shared" si="42"/>
        <v>926287.90999999992</v>
      </c>
      <c r="AG105" s="112">
        <f t="shared" si="42"/>
        <v>443973.61</v>
      </c>
      <c r="AH105" s="112">
        <f t="shared" si="42"/>
        <v>91080.31</v>
      </c>
      <c r="AI105" s="10">
        <f t="shared" si="43"/>
        <v>308149.25346866995</v>
      </c>
      <c r="AJ105" s="10">
        <f t="shared" si="44"/>
        <v>118930.25042141</v>
      </c>
      <c r="AK105" s="10">
        <f t="shared" si="45"/>
        <v>996.80545296000003</v>
      </c>
      <c r="AL105" s="10">
        <f t="shared" si="46"/>
        <v>106977.61065695999</v>
      </c>
      <c r="AM105" s="10">
        <f t="shared" si="47"/>
        <v>0</v>
      </c>
      <c r="AN105" s="9">
        <f t="shared" si="48"/>
        <v>0</v>
      </c>
      <c r="AO105" s="10">
        <f t="shared" si="49"/>
        <v>0</v>
      </c>
      <c r="AP105" s="66">
        <f t="shared" si="50"/>
        <v>2877190.7346657752</v>
      </c>
      <c r="AQ105" s="66">
        <f t="shared" si="51"/>
        <v>994219.54031447368</v>
      </c>
      <c r="AR105" s="66">
        <f t="shared" si="52"/>
        <v>9262.9149718739791</v>
      </c>
      <c r="AS105" s="66">
        <f t="shared" si="53"/>
        <v>231572.87429684948</v>
      </c>
      <c r="AT105" s="66"/>
      <c r="AU105" s="4"/>
      <c r="AV105" s="4"/>
      <c r="AW105" s="4"/>
      <c r="AX105" s="4"/>
      <c r="AY105" s="4"/>
      <c r="AZ105" s="4"/>
      <c r="BA105" s="4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9">
        <f t="shared" si="37"/>
        <v>5573587.8942489726</v>
      </c>
      <c r="BN105" s="9">
        <f t="shared" si="66"/>
        <v>4286537.1391058788</v>
      </c>
      <c r="BO105" s="9">
        <f t="shared" si="54"/>
        <v>1276791.0347182592</v>
      </c>
      <c r="BP105" s="9">
        <f t="shared" si="55"/>
        <v>10259.720424833979</v>
      </c>
      <c r="BQ105" s="10">
        <f t="shared" si="56"/>
        <v>0</v>
      </c>
      <c r="BR105" s="9">
        <f t="shared" si="57"/>
        <v>5573587.8942489717</v>
      </c>
      <c r="BS105" s="142">
        <f t="shared" si="67"/>
        <v>3871410.2749802489</v>
      </c>
      <c r="BT105" s="83">
        <f t="shared" si="58"/>
        <v>3871410</v>
      </c>
      <c r="BU105" s="175">
        <f t="shared" si="59"/>
        <v>3.780136259717065E-3</v>
      </c>
      <c r="BV105" s="173">
        <f t="shared" si="60"/>
        <v>926287.90999999992</v>
      </c>
      <c r="BW105" s="176">
        <f t="shared" si="61"/>
        <v>5.4005612426031389E-3</v>
      </c>
      <c r="BX105" s="177">
        <f t="shared" si="62"/>
        <v>0</v>
      </c>
      <c r="BY105" s="178">
        <f t="shared" si="63"/>
        <v>0</v>
      </c>
      <c r="BZ105" s="4"/>
      <c r="CA105" s="4"/>
      <c r="CB105" s="4"/>
      <c r="CC105" s="4"/>
      <c r="CD105" s="4"/>
      <c r="CE105" s="4"/>
      <c r="CF105" s="4"/>
      <c r="CG105" s="126">
        <f t="shared" si="64"/>
        <v>3113790.8413171503</v>
      </c>
      <c r="CH105" s="126">
        <f t="shared" si="65"/>
        <v>1282449.1486828499</v>
      </c>
      <c r="CI105" s="126"/>
      <c r="CJ105" s="126"/>
      <c r="CK105" s="9"/>
      <c r="CL105" s="9"/>
      <c r="CM105" s="127"/>
      <c r="CN105" s="9"/>
      <c r="CO105" s="9"/>
      <c r="CP105" s="9"/>
      <c r="CQ105" s="126"/>
      <c r="CR105" s="126"/>
      <c r="CS105" s="126"/>
      <c r="CT105" s="126"/>
      <c r="CU105" s="126"/>
      <c r="CV105" s="9"/>
      <c r="CW105" s="9"/>
      <c r="CX105" s="127"/>
      <c r="CY105" s="67"/>
      <c r="CZ105" s="67"/>
    </row>
    <row r="106" spans="1:104" x14ac:dyDescent="0.35">
      <c r="A106" s="143">
        <v>101</v>
      </c>
      <c r="B106" s="116" t="s">
        <v>554</v>
      </c>
      <c r="C106" s="144">
        <v>1626341.0346168808</v>
      </c>
      <c r="D106" s="144">
        <v>169360.83</v>
      </c>
      <c r="E106" s="144">
        <v>39705.31</v>
      </c>
      <c r="F106" s="145">
        <f t="shared" si="38"/>
        <v>209066.13999999998</v>
      </c>
      <c r="G106" s="144"/>
      <c r="H106" s="144"/>
      <c r="I106" s="145"/>
      <c r="J106" s="144">
        <v>36902.31</v>
      </c>
      <c r="K106" s="144">
        <v>7136.02</v>
      </c>
      <c r="L106" s="145">
        <f t="shared" si="39"/>
        <v>44038.33</v>
      </c>
      <c r="M106" s="146">
        <v>14075.32</v>
      </c>
      <c r="N106" s="146">
        <v>11434.48</v>
      </c>
      <c r="O106" s="145">
        <f t="shared" si="40"/>
        <v>25509.8</v>
      </c>
      <c r="P106" s="144">
        <v>87397.2</v>
      </c>
      <c r="Q106" s="144">
        <v>70998.5</v>
      </c>
      <c r="R106" s="147">
        <f t="shared" si="41"/>
        <v>158395.70000000001</v>
      </c>
      <c r="S106" s="117">
        <v>0</v>
      </c>
      <c r="T106" s="117">
        <v>0</v>
      </c>
      <c r="U106" s="146">
        <v>0</v>
      </c>
      <c r="V106" s="146">
        <v>0</v>
      </c>
      <c r="W106" s="4"/>
      <c r="X106" s="4"/>
      <c r="Y106" s="4"/>
      <c r="Z106" s="4"/>
      <c r="AA106" s="4"/>
      <c r="AB106" s="4"/>
      <c r="AC106" s="4"/>
      <c r="AD106" s="4"/>
      <c r="AE106" s="4"/>
      <c r="AF106" s="118">
        <f t="shared" si="42"/>
        <v>44038.33</v>
      </c>
      <c r="AG106" s="112">
        <f t="shared" si="42"/>
        <v>14075.32</v>
      </c>
      <c r="AH106" s="112">
        <f t="shared" si="42"/>
        <v>11434.48</v>
      </c>
      <c r="AI106" s="10">
        <f t="shared" si="43"/>
        <v>15132.017616239998</v>
      </c>
      <c r="AJ106" s="10">
        <f t="shared" si="44"/>
        <v>5229.8792339600004</v>
      </c>
      <c r="AK106" s="10">
        <f t="shared" si="45"/>
        <v>47.524757399999999</v>
      </c>
      <c r="AL106" s="10">
        <f t="shared" si="46"/>
        <v>5100.3783923999999</v>
      </c>
      <c r="AM106" s="10">
        <f t="shared" si="47"/>
        <v>0</v>
      </c>
      <c r="AN106" s="9">
        <f t="shared" si="48"/>
        <v>0</v>
      </c>
      <c r="AO106" s="10">
        <f t="shared" si="49"/>
        <v>0</v>
      </c>
      <c r="AP106" s="66">
        <f t="shared" si="50"/>
        <v>136035.14327890507</v>
      </c>
      <c r="AQ106" s="66">
        <f t="shared" si="51"/>
        <v>47267.839774663553</v>
      </c>
      <c r="AR106" s="66">
        <f t="shared" si="52"/>
        <v>440.38360038506409</v>
      </c>
      <c r="AS106" s="66">
        <f t="shared" si="53"/>
        <v>11009.590009626601</v>
      </c>
      <c r="AT106" s="66"/>
      <c r="AU106" s="4"/>
      <c r="AV106" s="4"/>
      <c r="AW106" s="4"/>
      <c r="AX106" s="4"/>
      <c r="AY106" s="4"/>
      <c r="AZ106" s="4"/>
      <c r="BA106" s="4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9">
        <f t="shared" si="37"/>
        <v>264301.08666358032</v>
      </c>
      <c r="BN106" s="9">
        <f t="shared" si="66"/>
        <v>203535.37906220864</v>
      </c>
      <c r="BO106" s="9">
        <f t="shared" si="54"/>
        <v>60277.799243586604</v>
      </c>
      <c r="BP106" s="9">
        <f t="shared" si="55"/>
        <v>487.90835778506408</v>
      </c>
      <c r="BQ106" s="10">
        <f t="shared" si="56"/>
        <v>0</v>
      </c>
      <c r="BR106" s="9">
        <f t="shared" si="57"/>
        <v>264301.08666358032</v>
      </c>
      <c r="BS106" s="142">
        <f t="shared" si="67"/>
        <v>183302.98305356863</v>
      </c>
      <c r="BT106" s="83">
        <f t="shared" si="58"/>
        <v>183303</v>
      </c>
      <c r="BU106" s="175">
        <f t="shared" si="59"/>
        <v>1.7898135396115635E-4</v>
      </c>
      <c r="BV106" s="173">
        <f t="shared" si="60"/>
        <v>44038.33</v>
      </c>
      <c r="BW106" s="176">
        <f t="shared" si="61"/>
        <v>2.5675785640661889E-4</v>
      </c>
      <c r="BX106" s="177">
        <f t="shared" si="62"/>
        <v>0</v>
      </c>
      <c r="BY106" s="178">
        <f t="shared" si="63"/>
        <v>0</v>
      </c>
      <c r="BZ106" s="4"/>
      <c r="CA106" s="4"/>
      <c r="CB106" s="4"/>
      <c r="CC106" s="4"/>
      <c r="CD106" s="4"/>
      <c r="CE106" s="4"/>
      <c r="CF106" s="4"/>
      <c r="CG106" s="126">
        <f t="shared" si="64"/>
        <v>148078.4109699</v>
      </c>
      <c r="CH106" s="126">
        <f t="shared" si="65"/>
        <v>60987.729030099996</v>
      </c>
      <c r="CI106" s="126"/>
      <c r="CJ106" s="126"/>
      <c r="CK106" s="9"/>
      <c r="CL106" s="9"/>
      <c r="CM106" s="127"/>
      <c r="CN106" s="9"/>
      <c r="CO106" s="9"/>
      <c r="CP106" s="9"/>
      <c r="CQ106" s="126"/>
      <c r="CR106" s="126"/>
      <c r="CS106" s="126"/>
      <c r="CT106" s="126"/>
      <c r="CU106" s="126"/>
      <c r="CV106" s="9"/>
      <c r="CW106" s="9"/>
      <c r="CX106" s="127"/>
      <c r="CY106" s="67"/>
      <c r="CZ106" s="67"/>
    </row>
    <row r="107" spans="1:104" x14ac:dyDescent="0.35">
      <c r="A107" s="143">
        <v>102</v>
      </c>
      <c r="B107" s="116" t="s">
        <v>555</v>
      </c>
      <c r="C107" s="144">
        <v>12925566.627771296</v>
      </c>
      <c r="D107" s="144">
        <v>1381179.89</v>
      </c>
      <c r="E107" s="144">
        <v>280401.7</v>
      </c>
      <c r="F107" s="145">
        <f t="shared" si="38"/>
        <v>1661581.5899999999</v>
      </c>
      <c r="G107" s="144"/>
      <c r="H107" s="144"/>
      <c r="I107" s="145"/>
      <c r="J107" s="144">
        <v>297566.42</v>
      </c>
      <c r="K107" s="144">
        <v>59851.07</v>
      </c>
      <c r="L107" s="145">
        <f t="shared" si="39"/>
        <v>357417.49</v>
      </c>
      <c r="M107" s="146">
        <v>132945.20000000001</v>
      </c>
      <c r="N107" s="146">
        <v>30000.75</v>
      </c>
      <c r="O107" s="145">
        <f t="shared" si="40"/>
        <v>162945.95000000001</v>
      </c>
      <c r="P107" s="144">
        <v>825491.52</v>
      </c>
      <c r="Q107" s="144">
        <v>186282.3</v>
      </c>
      <c r="R107" s="147">
        <f t="shared" si="41"/>
        <v>1011773.8200000001</v>
      </c>
      <c r="S107" s="117">
        <v>0</v>
      </c>
      <c r="T107" s="117">
        <v>0</v>
      </c>
      <c r="U107" s="146">
        <v>0</v>
      </c>
      <c r="V107" s="146">
        <v>0</v>
      </c>
      <c r="W107" s="4"/>
      <c r="X107" s="4"/>
      <c r="Y107" s="4"/>
      <c r="Z107" s="4"/>
      <c r="AA107" s="4"/>
      <c r="AB107" s="4"/>
      <c r="AC107" s="4"/>
      <c r="AD107" s="4"/>
      <c r="AE107" s="4"/>
      <c r="AF107" s="118">
        <f t="shared" si="42"/>
        <v>357417.49</v>
      </c>
      <c r="AG107" s="112">
        <f t="shared" si="42"/>
        <v>132945.20000000001</v>
      </c>
      <c r="AH107" s="112">
        <f t="shared" si="42"/>
        <v>30000.75</v>
      </c>
      <c r="AI107" s="10">
        <f t="shared" si="43"/>
        <v>93984.655294149998</v>
      </c>
      <c r="AJ107" s="10">
        <f t="shared" si="44"/>
        <v>36078.639049899997</v>
      </c>
      <c r="AK107" s="10">
        <f t="shared" si="45"/>
        <v>303.56830485</v>
      </c>
      <c r="AL107" s="10">
        <f t="shared" si="46"/>
        <v>32579.087351100003</v>
      </c>
      <c r="AM107" s="10">
        <f t="shared" si="47"/>
        <v>0</v>
      </c>
      <c r="AN107" s="9">
        <f t="shared" si="48"/>
        <v>0</v>
      </c>
      <c r="AO107" s="10">
        <f t="shared" si="49"/>
        <v>0</v>
      </c>
      <c r="AP107" s="66">
        <f t="shared" si="50"/>
        <v>1104700.6687014466</v>
      </c>
      <c r="AQ107" s="66">
        <f t="shared" si="51"/>
        <v>383624.12841023563</v>
      </c>
      <c r="AR107" s="66">
        <f t="shared" si="52"/>
        <v>3574.1378423313881</v>
      </c>
      <c r="AS107" s="66">
        <f t="shared" si="53"/>
        <v>89353.44605828471</v>
      </c>
      <c r="AT107" s="66"/>
      <c r="AU107" s="4"/>
      <c r="AV107" s="4"/>
      <c r="AW107" s="4"/>
      <c r="AX107" s="4"/>
      <c r="AY107" s="4"/>
      <c r="AZ107" s="4"/>
      <c r="BA107" s="4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9">
        <f t="shared" si="37"/>
        <v>2101615.8210122986</v>
      </c>
      <c r="BN107" s="9">
        <f t="shared" si="66"/>
        <v>1614888.5397569323</v>
      </c>
      <c r="BO107" s="9">
        <f t="shared" si="54"/>
        <v>482849.57510818471</v>
      </c>
      <c r="BP107" s="9">
        <f t="shared" si="55"/>
        <v>3877.7061471813881</v>
      </c>
      <c r="BQ107" s="10">
        <f t="shared" si="56"/>
        <v>0</v>
      </c>
      <c r="BR107" s="9">
        <f t="shared" si="57"/>
        <v>2101615.8210122981</v>
      </c>
      <c r="BS107" s="142">
        <f t="shared" si="67"/>
        <v>1488324.7971116821</v>
      </c>
      <c r="BT107" s="83">
        <f t="shared" si="58"/>
        <v>1488325</v>
      </c>
      <c r="BU107" s="175">
        <f t="shared" si="59"/>
        <v>1.4532354186683604E-3</v>
      </c>
      <c r="BV107" s="173">
        <f t="shared" si="60"/>
        <v>357417.49</v>
      </c>
      <c r="BW107" s="176">
        <f t="shared" si="61"/>
        <v>2.0838607770692968E-3</v>
      </c>
      <c r="BX107" s="177">
        <f t="shared" si="62"/>
        <v>0</v>
      </c>
      <c r="BY107" s="178">
        <f t="shared" si="63"/>
        <v>0</v>
      </c>
      <c r="BZ107" s="4"/>
      <c r="CA107" s="4"/>
      <c r="CB107" s="4"/>
      <c r="CC107" s="4"/>
      <c r="CD107" s="4"/>
      <c r="CE107" s="4"/>
      <c r="CF107" s="4"/>
      <c r="CG107" s="126">
        <f t="shared" si="64"/>
        <v>1176873.3164731502</v>
      </c>
      <c r="CH107" s="126">
        <f t="shared" si="65"/>
        <v>484708.27352685004</v>
      </c>
      <c r="CI107" s="126"/>
      <c r="CJ107" s="126"/>
      <c r="CK107" s="9"/>
      <c r="CL107" s="9"/>
      <c r="CM107" s="127"/>
      <c r="CN107" s="9"/>
      <c r="CO107" s="9"/>
      <c r="CP107" s="9"/>
      <c r="CQ107" s="126"/>
      <c r="CR107" s="126"/>
      <c r="CS107" s="126"/>
      <c r="CT107" s="126"/>
      <c r="CU107" s="126"/>
      <c r="CV107" s="9"/>
      <c r="CW107" s="9"/>
      <c r="CX107" s="127"/>
      <c r="CY107" s="67"/>
      <c r="CZ107" s="67"/>
    </row>
    <row r="108" spans="1:104" x14ac:dyDescent="0.35">
      <c r="A108" s="143">
        <v>103</v>
      </c>
      <c r="B108" s="116" t="s">
        <v>556</v>
      </c>
      <c r="C108" s="144">
        <v>13182815.091404121</v>
      </c>
      <c r="D108" s="144">
        <v>1367539.24</v>
      </c>
      <c r="E108" s="144">
        <v>327111.64</v>
      </c>
      <c r="F108" s="145">
        <f t="shared" si="38"/>
        <v>1694650.88</v>
      </c>
      <c r="G108" s="144"/>
      <c r="H108" s="144"/>
      <c r="I108" s="145"/>
      <c r="J108" s="144">
        <v>293837.93</v>
      </c>
      <c r="K108" s="144">
        <v>59800.9</v>
      </c>
      <c r="L108" s="145">
        <f t="shared" si="39"/>
        <v>353638.83</v>
      </c>
      <c r="M108" s="146">
        <v>135865.18</v>
      </c>
      <c r="N108" s="146">
        <v>88788.26</v>
      </c>
      <c r="O108" s="145">
        <f t="shared" si="40"/>
        <v>224653.44</v>
      </c>
      <c r="P108" s="144">
        <v>843621.82</v>
      </c>
      <c r="Q108" s="144">
        <v>551311.68999999994</v>
      </c>
      <c r="R108" s="147">
        <f t="shared" si="41"/>
        <v>1394933.5099999998</v>
      </c>
      <c r="S108" s="117">
        <v>0</v>
      </c>
      <c r="T108" s="117">
        <v>0</v>
      </c>
      <c r="U108" s="146">
        <v>0</v>
      </c>
      <c r="V108" s="146">
        <v>0</v>
      </c>
      <c r="W108" s="4"/>
      <c r="X108" s="4"/>
      <c r="Y108" s="4"/>
      <c r="Z108" s="4"/>
      <c r="AA108" s="4"/>
      <c r="AB108" s="4"/>
      <c r="AC108" s="4"/>
      <c r="AD108" s="4"/>
      <c r="AE108" s="4"/>
      <c r="AF108" s="118">
        <f t="shared" si="42"/>
        <v>353638.83</v>
      </c>
      <c r="AG108" s="112">
        <f t="shared" si="42"/>
        <v>135865.18</v>
      </c>
      <c r="AH108" s="112">
        <f t="shared" si="42"/>
        <v>88788.26</v>
      </c>
      <c r="AI108" s="10">
        <f t="shared" si="43"/>
        <v>132521.40103905997</v>
      </c>
      <c r="AJ108" s="10">
        <f t="shared" si="44"/>
        <v>46796.750115499999</v>
      </c>
      <c r="AK108" s="10">
        <f t="shared" si="45"/>
        <v>418.52935872</v>
      </c>
      <c r="AL108" s="10">
        <f t="shared" si="46"/>
        <v>44916.759486719995</v>
      </c>
      <c r="AM108" s="10">
        <f t="shared" si="47"/>
        <v>0</v>
      </c>
      <c r="AN108" s="9">
        <f t="shared" si="48"/>
        <v>0</v>
      </c>
      <c r="AO108" s="10">
        <f t="shared" si="49"/>
        <v>0</v>
      </c>
      <c r="AP108" s="66">
        <f t="shared" si="50"/>
        <v>1093219.7585742045</v>
      </c>
      <c r="AQ108" s="66">
        <f t="shared" si="51"/>
        <v>379569.78692121274</v>
      </c>
      <c r="AR108" s="66">
        <f t="shared" si="52"/>
        <v>3536.3644744212365</v>
      </c>
      <c r="AS108" s="66">
        <f t="shared" si="53"/>
        <v>88409.111860530917</v>
      </c>
      <c r="AT108" s="66"/>
      <c r="AU108" s="4"/>
      <c r="AV108" s="4"/>
      <c r="AW108" s="4"/>
      <c r="AX108" s="4"/>
      <c r="AY108" s="4"/>
      <c r="AZ108" s="4"/>
      <c r="BA108" s="4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9">
        <f t="shared" si="37"/>
        <v>2143027.2918303693</v>
      </c>
      <c r="BN108" s="9">
        <f t="shared" si="66"/>
        <v>1650227.7060211971</v>
      </c>
      <c r="BO108" s="9">
        <f t="shared" si="54"/>
        <v>488844.69197603094</v>
      </c>
      <c r="BP108" s="9">
        <f t="shared" si="55"/>
        <v>3954.8938331412364</v>
      </c>
      <c r="BQ108" s="10">
        <f t="shared" si="56"/>
        <v>0</v>
      </c>
      <c r="BR108" s="9">
        <f t="shared" si="57"/>
        <v>2143027.2918303693</v>
      </c>
      <c r="BS108" s="142">
        <f t="shared" si="67"/>
        <v>1472789.5454954172</v>
      </c>
      <c r="BT108" s="83">
        <f t="shared" si="58"/>
        <v>1472790</v>
      </c>
      <c r="BU108" s="175">
        <f t="shared" si="59"/>
        <v>1.4380664327517821E-3</v>
      </c>
      <c r="BV108" s="173">
        <f t="shared" si="60"/>
        <v>353638.83</v>
      </c>
      <c r="BW108" s="176">
        <f t="shared" si="61"/>
        <v>2.06182995433625E-3</v>
      </c>
      <c r="BX108" s="177">
        <f t="shared" si="62"/>
        <v>0</v>
      </c>
      <c r="BY108" s="178">
        <f t="shared" si="63"/>
        <v>0</v>
      </c>
      <c r="BZ108" s="4"/>
      <c r="CA108" s="4"/>
      <c r="CB108" s="4"/>
      <c r="CC108" s="4"/>
      <c r="CD108" s="4"/>
      <c r="CE108" s="4"/>
      <c r="CF108" s="4"/>
      <c r="CG108" s="126">
        <f t="shared" si="64"/>
        <v>1200295.7985408001</v>
      </c>
      <c r="CH108" s="126">
        <f t="shared" si="65"/>
        <v>494355.08145920001</v>
      </c>
      <c r="CI108" s="126"/>
      <c r="CJ108" s="126"/>
      <c r="CK108" s="9"/>
      <c r="CL108" s="9"/>
      <c r="CM108" s="127"/>
      <c r="CN108" s="9"/>
      <c r="CO108" s="9"/>
      <c r="CP108" s="9"/>
      <c r="CQ108" s="126"/>
      <c r="CR108" s="126"/>
      <c r="CS108" s="126"/>
      <c r="CT108" s="126"/>
      <c r="CU108" s="126"/>
      <c r="CV108" s="9"/>
      <c r="CW108" s="9"/>
      <c r="CX108" s="127"/>
      <c r="CY108" s="67"/>
      <c r="CZ108" s="67"/>
    </row>
    <row r="109" spans="1:104" x14ac:dyDescent="0.35">
      <c r="A109" s="143">
        <v>104</v>
      </c>
      <c r="B109" s="116" t="s">
        <v>557</v>
      </c>
      <c r="C109" s="144">
        <v>13511497.471800856</v>
      </c>
      <c r="D109" s="144">
        <v>1453767.55</v>
      </c>
      <c r="E109" s="144">
        <v>283135.45</v>
      </c>
      <c r="F109" s="145">
        <f t="shared" si="38"/>
        <v>1736903</v>
      </c>
      <c r="G109" s="144"/>
      <c r="H109" s="144"/>
      <c r="I109" s="145"/>
      <c r="J109" s="144">
        <v>313358.32</v>
      </c>
      <c r="K109" s="144">
        <v>53606.8</v>
      </c>
      <c r="L109" s="145">
        <f t="shared" si="39"/>
        <v>366965.12</v>
      </c>
      <c r="M109" s="146">
        <v>139129.65</v>
      </c>
      <c r="N109" s="146">
        <v>66940.11</v>
      </c>
      <c r="O109" s="145">
        <f t="shared" si="40"/>
        <v>206069.76000000001</v>
      </c>
      <c r="P109" s="144">
        <v>863887.31</v>
      </c>
      <c r="Q109" s="144">
        <v>415644.82</v>
      </c>
      <c r="R109" s="147">
        <f t="shared" si="41"/>
        <v>1279532.1300000001</v>
      </c>
      <c r="S109" s="117">
        <v>0</v>
      </c>
      <c r="T109" s="117">
        <v>0</v>
      </c>
      <c r="U109" s="146">
        <v>0</v>
      </c>
      <c r="V109" s="146">
        <v>0</v>
      </c>
      <c r="W109" s="4"/>
      <c r="X109" s="4"/>
      <c r="Y109" s="4"/>
      <c r="Z109" s="4"/>
      <c r="AA109" s="4"/>
      <c r="AB109" s="4"/>
      <c r="AC109" s="4"/>
      <c r="AD109" s="4"/>
      <c r="AE109" s="4"/>
      <c r="AF109" s="118">
        <f t="shared" si="42"/>
        <v>366965.12</v>
      </c>
      <c r="AG109" s="112">
        <f t="shared" si="42"/>
        <v>139129.65</v>
      </c>
      <c r="AH109" s="112">
        <f t="shared" si="42"/>
        <v>66940.11</v>
      </c>
      <c r="AI109" s="10">
        <f t="shared" si="43"/>
        <v>120658.46320574998</v>
      </c>
      <c r="AJ109" s="10">
        <f t="shared" si="44"/>
        <v>43826.213156489997</v>
      </c>
      <c r="AK109" s="10">
        <f t="shared" si="45"/>
        <v>383.90796288000001</v>
      </c>
      <c r="AL109" s="10">
        <f t="shared" si="46"/>
        <v>41201.175674879996</v>
      </c>
      <c r="AM109" s="10">
        <f t="shared" si="47"/>
        <v>0</v>
      </c>
      <c r="AN109" s="9">
        <f t="shared" si="48"/>
        <v>0</v>
      </c>
      <c r="AO109" s="10">
        <f t="shared" si="49"/>
        <v>0</v>
      </c>
      <c r="AP109" s="66">
        <f t="shared" si="50"/>
        <v>1131589.3131682454</v>
      </c>
      <c r="AQ109" s="66">
        <f t="shared" si="51"/>
        <v>393869.28400598752</v>
      </c>
      <c r="AR109" s="66">
        <f t="shared" si="52"/>
        <v>3669.5896025402562</v>
      </c>
      <c r="AS109" s="66">
        <f t="shared" si="53"/>
        <v>91739.740063506426</v>
      </c>
      <c r="AT109" s="66"/>
      <c r="AU109" s="4"/>
      <c r="AV109" s="4"/>
      <c r="AW109" s="4"/>
      <c r="AX109" s="4"/>
      <c r="AY109" s="4"/>
      <c r="AZ109" s="4"/>
      <c r="BA109" s="4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9">
        <f t="shared" si="37"/>
        <v>2193902.8068402796</v>
      </c>
      <c r="BN109" s="9">
        <f t="shared" si="66"/>
        <v>1687318.2360548628</v>
      </c>
      <c r="BO109" s="9">
        <f t="shared" si="54"/>
        <v>502531.07321999641</v>
      </c>
      <c r="BP109" s="9">
        <f t="shared" si="55"/>
        <v>4053.4975654202563</v>
      </c>
      <c r="BQ109" s="10">
        <f t="shared" si="56"/>
        <v>0</v>
      </c>
      <c r="BR109" s="9">
        <f t="shared" si="57"/>
        <v>2193902.8068402796</v>
      </c>
      <c r="BS109" s="142">
        <f t="shared" si="67"/>
        <v>1525458.5971742328</v>
      </c>
      <c r="BT109" s="83">
        <f t="shared" si="58"/>
        <v>1525459</v>
      </c>
      <c r="BU109" s="175">
        <f t="shared" si="59"/>
        <v>1.4894937364665812E-3</v>
      </c>
      <c r="BV109" s="173">
        <f t="shared" si="60"/>
        <v>366965.12</v>
      </c>
      <c r="BW109" s="176">
        <f t="shared" si="61"/>
        <v>2.1395265803039682E-3</v>
      </c>
      <c r="BX109" s="177">
        <f t="shared" si="62"/>
        <v>0</v>
      </c>
      <c r="BY109" s="178">
        <f t="shared" si="63"/>
        <v>0</v>
      </c>
      <c r="BZ109" s="4"/>
      <c r="CA109" s="4"/>
      <c r="CB109" s="4"/>
      <c r="CC109" s="4"/>
      <c r="CD109" s="4"/>
      <c r="CE109" s="4"/>
      <c r="CF109" s="4"/>
      <c r="CG109" s="126">
        <f t="shared" si="64"/>
        <v>1230222.3413550002</v>
      </c>
      <c r="CH109" s="126">
        <f t="shared" si="65"/>
        <v>506680.65864500008</v>
      </c>
      <c r="CI109" s="126"/>
      <c r="CJ109" s="126"/>
      <c r="CK109" s="9"/>
      <c r="CL109" s="9"/>
      <c r="CM109" s="127"/>
      <c r="CN109" s="9"/>
      <c r="CO109" s="9"/>
      <c r="CP109" s="9"/>
      <c r="CQ109" s="126"/>
      <c r="CR109" s="126"/>
      <c r="CS109" s="126"/>
      <c r="CT109" s="126"/>
      <c r="CU109" s="126"/>
      <c r="CV109" s="9"/>
      <c r="CW109" s="9"/>
      <c r="CX109" s="127"/>
      <c r="CY109" s="67"/>
      <c r="CZ109" s="67"/>
    </row>
    <row r="110" spans="1:104" x14ac:dyDescent="0.35">
      <c r="A110" s="143">
        <v>105</v>
      </c>
      <c r="B110" s="116" t="s">
        <v>558</v>
      </c>
      <c r="C110" s="144">
        <v>37826457.409568258</v>
      </c>
      <c r="D110" s="144">
        <v>3498552.56</v>
      </c>
      <c r="E110" s="144">
        <v>1364038.54</v>
      </c>
      <c r="F110" s="145">
        <f t="shared" si="38"/>
        <v>4862591.0999999996</v>
      </c>
      <c r="G110" s="144"/>
      <c r="H110" s="144"/>
      <c r="I110" s="145"/>
      <c r="J110" s="144">
        <v>769847.96</v>
      </c>
      <c r="K110" s="144">
        <v>279563.37</v>
      </c>
      <c r="L110" s="145">
        <f t="shared" si="39"/>
        <v>1049411.33</v>
      </c>
      <c r="M110" s="146">
        <v>250304.68</v>
      </c>
      <c r="N110" s="146">
        <v>208135.58</v>
      </c>
      <c r="O110" s="145">
        <f t="shared" si="40"/>
        <v>458440.26</v>
      </c>
      <c r="P110" s="144">
        <v>1554205.13</v>
      </c>
      <c r="Q110" s="144">
        <v>1292360.06</v>
      </c>
      <c r="R110" s="147">
        <f t="shared" si="41"/>
        <v>2846565.19</v>
      </c>
      <c r="S110" s="117">
        <v>8926.83</v>
      </c>
      <c r="T110" s="117">
        <v>0</v>
      </c>
      <c r="U110" s="146">
        <v>0</v>
      </c>
      <c r="V110" s="146">
        <v>0</v>
      </c>
      <c r="W110" s="4"/>
      <c r="X110" s="4"/>
      <c r="Y110" s="4"/>
      <c r="Z110" s="4"/>
      <c r="AA110" s="4"/>
      <c r="AB110" s="4"/>
      <c r="AC110" s="4"/>
      <c r="AD110" s="4"/>
      <c r="AE110" s="4"/>
      <c r="AF110" s="118">
        <f t="shared" si="42"/>
        <v>1049411.33</v>
      </c>
      <c r="AG110" s="112">
        <f t="shared" si="42"/>
        <v>250304.68</v>
      </c>
      <c r="AH110" s="112">
        <f t="shared" si="42"/>
        <v>208135.58</v>
      </c>
      <c r="AI110" s="10">
        <f t="shared" si="43"/>
        <v>272103.88044045994</v>
      </c>
      <c r="AJ110" s="10">
        <f t="shared" si="44"/>
        <v>93822.676651279995</v>
      </c>
      <c r="AK110" s="10">
        <f t="shared" si="45"/>
        <v>854.07420438000008</v>
      </c>
      <c r="AL110" s="10">
        <f t="shared" si="46"/>
        <v>91659.628703879993</v>
      </c>
      <c r="AM110" s="10">
        <f t="shared" si="47"/>
        <v>8926.83</v>
      </c>
      <c r="AN110" s="9">
        <f t="shared" si="48"/>
        <v>0</v>
      </c>
      <c r="AO110" s="10">
        <f t="shared" si="49"/>
        <v>0</v>
      </c>
      <c r="AP110" s="66">
        <f t="shared" si="50"/>
        <v>3278105.1573646972</v>
      </c>
      <c r="AQ110" s="66">
        <f t="shared" si="51"/>
        <v>1126352.5294700982</v>
      </c>
      <c r="AR110" s="66">
        <f t="shared" si="52"/>
        <v>10493.967665870479</v>
      </c>
      <c r="AS110" s="66">
        <f t="shared" si="53"/>
        <v>262349.19164676196</v>
      </c>
      <c r="AT110" s="66"/>
      <c r="AU110" s="4"/>
      <c r="AV110" s="4"/>
      <c r="AW110" s="4"/>
      <c r="AX110" s="4"/>
      <c r="AY110" s="4"/>
      <c r="AZ110" s="4"/>
      <c r="BA110" s="4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9">
        <f t="shared" si="37"/>
        <v>6194079.2661474282</v>
      </c>
      <c r="BN110" s="9">
        <f t="shared" si="66"/>
        <v>4777148.0259791352</v>
      </c>
      <c r="BO110" s="9">
        <f t="shared" si="54"/>
        <v>1405583.1982980419</v>
      </c>
      <c r="BP110" s="9">
        <f t="shared" si="55"/>
        <v>11348.041870250479</v>
      </c>
      <c r="BQ110" s="10">
        <f t="shared" si="56"/>
        <v>0</v>
      </c>
      <c r="BR110" s="9">
        <f t="shared" si="57"/>
        <v>6194079.2661474273</v>
      </c>
      <c r="BS110" s="142">
        <f t="shared" si="67"/>
        <v>4404457.6868347954</v>
      </c>
      <c r="BT110" s="83">
        <f t="shared" si="58"/>
        <v>4404458</v>
      </c>
      <c r="BU110" s="175">
        <f t="shared" si="59"/>
        <v>4.300616319069593E-3</v>
      </c>
      <c r="BV110" s="173">
        <f t="shared" si="60"/>
        <v>1049411.33</v>
      </c>
      <c r="BW110" s="176">
        <f t="shared" si="61"/>
        <v>6.1184110201185863E-3</v>
      </c>
      <c r="BX110" s="177">
        <f t="shared" si="62"/>
        <v>0</v>
      </c>
      <c r="BY110" s="178">
        <f t="shared" si="63"/>
        <v>0</v>
      </c>
      <c r="BZ110" s="4"/>
      <c r="CA110" s="4"/>
      <c r="CB110" s="4"/>
      <c r="CC110" s="4"/>
      <c r="CD110" s="4"/>
      <c r="CE110" s="4"/>
      <c r="CF110" s="4"/>
      <c r="CG110" s="126">
        <f t="shared" si="64"/>
        <v>3444100.3372635003</v>
      </c>
      <c r="CH110" s="126">
        <f t="shared" si="65"/>
        <v>1418490.7627365</v>
      </c>
      <c r="CI110" s="126"/>
      <c r="CJ110" s="126"/>
      <c r="CK110" s="9"/>
      <c r="CL110" s="9"/>
      <c r="CM110" s="127"/>
      <c r="CN110" s="9"/>
      <c r="CO110" s="9"/>
      <c r="CP110" s="9"/>
      <c r="CQ110" s="126"/>
      <c r="CR110" s="126"/>
      <c r="CS110" s="126"/>
      <c r="CT110" s="126"/>
      <c r="CU110" s="126"/>
      <c r="CV110" s="9"/>
      <c r="CW110" s="9"/>
      <c r="CX110" s="127"/>
      <c r="CY110" s="67"/>
      <c r="CZ110" s="67"/>
    </row>
    <row r="111" spans="1:104" x14ac:dyDescent="0.35">
      <c r="A111" s="143">
        <v>106</v>
      </c>
      <c r="B111" s="116" t="s">
        <v>559</v>
      </c>
      <c r="C111" s="144">
        <v>33052732.866588872</v>
      </c>
      <c r="D111" s="144">
        <v>2834760.3</v>
      </c>
      <c r="E111" s="144">
        <v>1414168.51</v>
      </c>
      <c r="F111" s="145">
        <f t="shared" si="38"/>
        <v>4248928.8099999996</v>
      </c>
      <c r="G111" s="144"/>
      <c r="H111" s="144"/>
      <c r="I111" s="145"/>
      <c r="J111" s="144">
        <v>634836.66</v>
      </c>
      <c r="K111" s="144">
        <v>300247.58</v>
      </c>
      <c r="L111" s="145">
        <f t="shared" si="39"/>
        <v>935084.24</v>
      </c>
      <c r="M111" s="146">
        <v>143431.35</v>
      </c>
      <c r="N111" s="146">
        <v>159875.38</v>
      </c>
      <c r="O111" s="145">
        <f t="shared" si="40"/>
        <v>303306.73</v>
      </c>
      <c r="P111" s="144">
        <v>890598.74</v>
      </c>
      <c r="Q111" s="144">
        <v>992703.84</v>
      </c>
      <c r="R111" s="147">
        <f t="shared" si="41"/>
        <v>1883302.58</v>
      </c>
      <c r="S111" s="117">
        <v>0</v>
      </c>
      <c r="T111" s="117">
        <v>0</v>
      </c>
      <c r="U111" s="146">
        <v>0</v>
      </c>
      <c r="V111" s="146">
        <v>3856.68</v>
      </c>
      <c r="W111" s="4"/>
      <c r="X111" s="4"/>
      <c r="Y111" s="4"/>
      <c r="Z111" s="4"/>
      <c r="AA111" s="4"/>
      <c r="AB111" s="4"/>
      <c r="AC111" s="4"/>
      <c r="AD111" s="4"/>
      <c r="AE111" s="4"/>
      <c r="AF111" s="118">
        <f t="shared" si="42"/>
        <v>935084.24</v>
      </c>
      <c r="AG111" s="112">
        <f t="shared" si="42"/>
        <v>143431.35</v>
      </c>
      <c r="AH111" s="112">
        <f t="shared" si="42"/>
        <v>159875.38</v>
      </c>
      <c r="AI111" s="10">
        <f t="shared" si="43"/>
        <v>181402.20838930001</v>
      </c>
      <c r="AJ111" s="10">
        <f t="shared" si="44"/>
        <v>60696.920189969998</v>
      </c>
      <c r="AK111" s="10">
        <f t="shared" si="45"/>
        <v>565.06043799000008</v>
      </c>
      <c r="AL111" s="10">
        <f t="shared" si="46"/>
        <v>60642.54098274</v>
      </c>
      <c r="AM111" s="10">
        <f t="shared" si="47"/>
        <v>0</v>
      </c>
      <c r="AN111" s="9">
        <f t="shared" si="48"/>
        <v>0</v>
      </c>
      <c r="AO111" s="10">
        <f t="shared" si="49"/>
        <v>0</v>
      </c>
      <c r="AP111" s="66">
        <f t="shared" si="50"/>
        <v>2938058.8081748588</v>
      </c>
      <c r="AQ111" s="66">
        <f t="shared" si="51"/>
        <v>1003655.6552281617</v>
      </c>
      <c r="AR111" s="66">
        <f t="shared" si="52"/>
        <v>9350.8290859766621</v>
      </c>
      <c r="AS111" s="66">
        <f t="shared" si="53"/>
        <v>233770.72714941655</v>
      </c>
      <c r="AT111" s="66"/>
      <c r="AU111" s="4"/>
      <c r="AV111" s="4"/>
      <c r="AW111" s="4"/>
      <c r="AX111" s="4"/>
      <c r="AY111" s="4"/>
      <c r="AZ111" s="4"/>
      <c r="BA111" s="4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9">
        <f t="shared" si="37"/>
        <v>5423226.9896384142</v>
      </c>
      <c r="BN111" s="9">
        <f t="shared" si="66"/>
        <v>4183759.2127750604</v>
      </c>
      <c r="BO111" s="9">
        <f t="shared" si="54"/>
        <v>1229551.8873393864</v>
      </c>
      <c r="BP111" s="9">
        <f t="shared" si="55"/>
        <v>9915.8895239666617</v>
      </c>
      <c r="BQ111" s="10">
        <f t="shared" si="56"/>
        <v>0</v>
      </c>
      <c r="BR111" s="9">
        <f t="shared" si="57"/>
        <v>5423226.9896384133</v>
      </c>
      <c r="BS111" s="142">
        <f t="shared" si="67"/>
        <v>3941714.4634030205</v>
      </c>
      <c r="BT111" s="83">
        <f t="shared" si="58"/>
        <v>3941714</v>
      </c>
      <c r="BU111" s="175">
        <f t="shared" si="59"/>
        <v>3.8487829266912223E-3</v>
      </c>
      <c r="BV111" s="173">
        <f t="shared" si="60"/>
        <v>935084.24</v>
      </c>
      <c r="BW111" s="176">
        <f t="shared" si="61"/>
        <v>5.4518467212996569E-3</v>
      </c>
      <c r="BX111" s="177">
        <f t="shared" si="62"/>
        <v>0</v>
      </c>
      <c r="BY111" s="178">
        <f t="shared" si="63"/>
        <v>0</v>
      </c>
      <c r="BZ111" s="4"/>
      <c r="CA111" s="4"/>
      <c r="CB111" s="4"/>
      <c r="CC111" s="4"/>
      <c r="CD111" s="4"/>
      <c r="CE111" s="4"/>
      <c r="CF111" s="4"/>
      <c r="CG111" s="126">
        <f t="shared" si="64"/>
        <v>3009452.5421908502</v>
      </c>
      <c r="CH111" s="126">
        <f t="shared" si="65"/>
        <v>1239476.26780915</v>
      </c>
      <c r="CI111" s="126"/>
      <c r="CJ111" s="126"/>
      <c r="CK111" s="9"/>
      <c r="CL111" s="9"/>
      <c r="CM111" s="127"/>
      <c r="CN111" s="9"/>
      <c r="CO111" s="9"/>
      <c r="CP111" s="9"/>
      <c r="CQ111" s="126"/>
      <c r="CR111" s="126"/>
      <c r="CS111" s="126"/>
      <c r="CT111" s="126"/>
      <c r="CU111" s="126"/>
      <c r="CV111" s="9"/>
      <c r="CW111" s="9"/>
      <c r="CX111" s="127"/>
      <c r="CY111" s="67"/>
      <c r="CZ111" s="67"/>
    </row>
    <row r="112" spans="1:104" x14ac:dyDescent="0.35">
      <c r="A112" s="143">
        <v>107</v>
      </c>
      <c r="B112" s="116" t="s">
        <v>560</v>
      </c>
      <c r="C112" s="144">
        <v>12996699.260987943</v>
      </c>
      <c r="D112" s="144">
        <v>1110334.1000000001</v>
      </c>
      <c r="E112" s="144">
        <v>560391.59</v>
      </c>
      <c r="F112" s="145">
        <f t="shared" si="38"/>
        <v>1670725.69</v>
      </c>
      <c r="G112" s="144"/>
      <c r="H112" s="144"/>
      <c r="I112" s="145"/>
      <c r="J112" s="144">
        <v>247839.62</v>
      </c>
      <c r="K112" s="144">
        <v>114514.24000000001</v>
      </c>
      <c r="L112" s="145">
        <f t="shared" si="39"/>
        <v>362353.86</v>
      </c>
      <c r="M112" s="146">
        <v>60562.39</v>
      </c>
      <c r="N112" s="146">
        <v>87320.18</v>
      </c>
      <c r="O112" s="145">
        <f t="shared" si="40"/>
        <v>147882.57</v>
      </c>
      <c r="P112" s="144">
        <v>376046.95</v>
      </c>
      <c r="Q112" s="144">
        <v>542192.9</v>
      </c>
      <c r="R112" s="147">
        <f t="shared" si="41"/>
        <v>918239.85000000009</v>
      </c>
      <c r="S112" s="117">
        <v>0</v>
      </c>
      <c r="T112" s="117">
        <v>0</v>
      </c>
      <c r="U112" s="146">
        <v>0</v>
      </c>
      <c r="V112" s="146">
        <v>0</v>
      </c>
      <c r="W112" s="4"/>
      <c r="X112" s="4"/>
      <c r="Y112" s="4"/>
      <c r="Z112" s="4"/>
      <c r="AA112" s="4"/>
      <c r="AB112" s="4"/>
      <c r="AC112" s="4"/>
      <c r="AD112" s="4"/>
      <c r="AE112" s="4"/>
      <c r="AF112" s="118">
        <f t="shared" si="42"/>
        <v>362353.86</v>
      </c>
      <c r="AG112" s="112">
        <f t="shared" si="42"/>
        <v>60562.39</v>
      </c>
      <c r="AH112" s="112">
        <f t="shared" si="42"/>
        <v>87320.18</v>
      </c>
      <c r="AI112" s="10">
        <f t="shared" si="43"/>
        <v>89027.678651380003</v>
      </c>
      <c r="AJ112" s="10">
        <f t="shared" si="44"/>
        <v>29012.040840049998</v>
      </c>
      <c r="AK112" s="10">
        <f t="shared" si="45"/>
        <v>275.50522791000003</v>
      </c>
      <c r="AL112" s="10">
        <f t="shared" si="46"/>
        <v>29567.34528066</v>
      </c>
      <c r="AM112" s="10">
        <f t="shared" si="47"/>
        <v>0</v>
      </c>
      <c r="AN112" s="9">
        <f t="shared" si="48"/>
        <v>0</v>
      </c>
      <c r="AO112" s="10">
        <f t="shared" si="49"/>
        <v>0</v>
      </c>
      <c r="AP112" s="66">
        <f t="shared" si="50"/>
        <v>1137915.0784723582</v>
      </c>
      <c r="AQ112" s="66">
        <f t="shared" si="51"/>
        <v>388926.39303381176</v>
      </c>
      <c r="AR112" s="66">
        <f t="shared" si="52"/>
        <v>3623.5378232963831</v>
      </c>
      <c r="AS112" s="66">
        <f t="shared" si="53"/>
        <v>90588.445582409578</v>
      </c>
      <c r="AT112" s="66"/>
      <c r="AU112" s="4"/>
      <c r="AV112" s="4"/>
      <c r="AW112" s="4"/>
      <c r="AX112" s="4"/>
      <c r="AY112" s="4"/>
      <c r="AZ112" s="4"/>
      <c r="BA112" s="4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9">
        <f t="shared" si="37"/>
        <v>2131289.8849118762</v>
      </c>
      <c r="BN112" s="9">
        <f t="shared" si="66"/>
        <v>1645436.49543821</v>
      </c>
      <c r="BO112" s="9">
        <f t="shared" si="54"/>
        <v>481954.34642245952</v>
      </c>
      <c r="BP112" s="9">
        <f t="shared" si="55"/>
        <v>3899.0430512063831</v>
      </c>
      <c r="BQ112" s="10">
        <f t="shared" si="56"/>
        <v>0</v>
      </c>
      <c r="BR112" s="9">
        <f t="shared" si="57"/>
        <v>2131289.8849118762</v>
      </c>
      <c r="BS112" s="142">
        <f t="shared" si="67"/>
        <v>1526841.47150617</v>
      </c>
      <c r="BT112" s="83">
        <f t="shared" si="58"/>
        <v>1526841</v>
      </c>
      <c r="BU112" s="175">
        <f t="shared" si="59"/>
        <v>1.4908440075650931E-3</v>
      </c>
      <c r="BV112" s="173">
        <f t="shared" si="60"/>
        <v>362353.86</v>
      </c>
      <c r="BW112" s="176">
        <f t="shared" si="61"/>
        <v>2.112641427462487E-3</v>
      </c>
      <c r="BX112" s="177">
        <f t="shared" si="62"/>
        <v>0</v>
      </c>
      <c r="BY112" s="178">
        <f t="shared" si="63"/>
        <v>0</v>
      </c>
      <c r="BZ112" s="4"/>
      <c r="CA112" s="4"/>
      <c r="CB112" s="4"/>
      <c r="CC112" s="4"/>
      <c r="CD112" s="4"/>
      <c r="CE112" s="4"/>
      <c r="CF112" s="4"/>
      <c r="CG112" s="126">
        <f t="shared" si="64"/>
        <v>1183349.9453416502</v>
      </c>
      <c r="CH112" s="126">
        <f t="shared" si="65"/>
        <v>487375.74465835001</v>
      </c>
      <c r="CI112" s="126"/>
      <c r="CJ112" s="126"/>
      <c r="CK112" s="9"/>
      <c r="CL112" s="9"/>
      <c r="CM112" s="127"/>
      <c r="CN112" s="9"/>
      <c r="CO112" s="9"/>
      <c r="CP112" s="9"/>
      <c r="CQ112" s="126"/>
      <c r="CR112" s="126"/>
      <c r="CS112" s="126"/>
      <c r="CT112" s="126"/>
      <c r="CU112" s="126"/>
      <c r="CV112" s="9"/>
      <c r="CW112" s="9"/>
      <c r="CX112" s="127"/>
      <c r="CY112" s="67"/>
      <c r="CZ112" s="67"/>
    </row>
    <row r="113" spans="1:104" x14ac:dyDescent="0.35">
      <c r="A113" s="143">
        <v>108</v>
      </c>
      <c r="B113" s="116" t="s">
        <v>561</v>
      </c>
      <c r="C113" s="144">
        <v>11811837.106184363</v>
      </c>
      <c r="D113" s="144">
        <v>1084908.56</v>
      </c>
      <c r="E113" s="144">
        <v>433503.1</v>
      </c>
      <c r="F113" s="145">
        <f t="shared" si="38"/>
        <v>1518411.6600000001</v>
      </c>
      <c r="G113" s="144"/>
      <c r="H113" s="144"/>
      <c r="I113" s="145"/>
      <c r="J113" s="144">
        <v>241034.46</v>
      </c>
      <c r="K113" s="144">
        <v>96301.97</v>
      </c>
      <c r="L113" s="145">
        <f t="shared" si="39"/>
        <v>337336.43</v>
      </c>
      <c r="M113" s="146">
        <v>65239.69</v>
      </c>
      <c r="N113" s="146">
        <v>26124.21</v>
      </c>
      <c r="O113" s="145">
        <f t="shared" si="40"/>
        <v>91363.9</v>
      </c>
      <c r="P113" s="144">
        <v>405088.52</v>
      </c>
      <c r="Q113" s="144">
        <v>162211.12</v>
      </c>
      <c r="R113" s="147">
        <f t="shared" si="41"/>
        <v>567299.64</v>
      </c>
      <c r="S113" s="117">
        <v>0</v>
      </c>
      <c r="T113" s="117">
        <v>0</v>
      </c>
      <c r="U113" s="146">
        <v>0</v>
      </c>
      <c r="V113" s="146">
        <v>0</v>
      </c>
      <c r="W113" s="4"/>
      <c r="X113" s="4"/>
      <c r="Y113" s="4"/>
      <c r="Z113" s="4"/>
      <c r="AA113" s="4"/>
      <c r="AB113" s="4"/>
      <c r="AC113" s="4"/>
      <c r="AD113" s="4"/>
      <c r="AE113" s="4"/>
      <c r="AF113" s="118">
        <f t="shared" si="42"/>
        <v>337336.43</v>
      </c>
      <c r="AG113" s="112">
        <f t="shared" si="42"/>
        <v>65239.69</v>
      </c>
      <c r="AH113" s="112">
        <f t="shared" si="42"/>
        <v>26124.21</v>
      </c>
      <c r="AI113" s="10">
        <f t="shared" si="43"/>
        <v>53274.894164330006</v>
      </c>
      <c r="AJ113" s="10">
        <f t="shared" si="44"/>
        <v>19651.67945177</v>
      </c>
      <c r="AK113" s="10">
        <f t="shared" si="45"/>
        <v>170.21094570000002</v>
      </c>
      <c r="AL113" s="10">
        <f t="shared" si="46"/>
        <v>18267.115438200002</v>
      </c>
      <c r="AM113" s="10">
        <f t="shared" si="47"/>
        <v>0</v>
      </c>
      <c r="AN113" s="9">
        <f t="shared" si="48"/>
        <v>0</v>
      </c>
      <c r="AO113" s="10">
        <f t="shared" si="49"/>
        <v>0</v>
      </c>
      <c r="AP113" s="66">
        <f t="shared" si="50"/>
        <v>1055915.5532952307</v>
      </c>
      <c r="AQ113" s="66">
        <f t="shared" si="51"/>
        <v>362074.10641113657</v>
      </c>
      <c r="AR113" s="66">
        <f t="shared" si="52"/>
        <v>3373.3612398553096</v>
      </c>
      <c r="AS113" s="66">
        <f t="shared" si="53"/>
        <v>84334.030996382731</v>
      </c>
      <c r="AT113" s="66"/>
      <c r="AU113" s="4"/>
      <c r="AV113" s="4"/>
      <c r="AW113" s="4"/>
      <c r="AX113" s="4"/>
      <c r="AY113" s="4"/>
      <c r="AZ113" s="4"/>
      <c r="BA113" s="4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9">
        <f t="shared" si="37"/>
        <v>1934397.3819426056</v>
      </c>
      <c r="BN113" s="9">
        <f t="shared" si="66"/>
        <v>1489531.6693088971</v>
      </c>
      <c r="BO113" s="9">
        <f t="shared" si="54"/>
        <v>441322.14044815267</v>
      </c>
      <c r="BP113" s="9">
        <f t="shared" si="55"/>
        <v>3543.5721855553097</v>
      </c>
      <c r="BQ113" s="10">
        <f t="shared" si="56"/>
        <v>0</v>
      </c>
      <c r="BR113" s="9">
        <f t="shared" si="57"/>
        <v>1934397.3819426049</v>
      </c>
      <c r="BS113" s="142">
        <f t="shared" si="67"/>
        <v>1417989.6597063672</v>
      </c>
      <c r="BT113" s="83">
        <f t="shared" si="58"/>
        <v>1417990</v>
      </c>
      <c r="BU113" s="175">
        <f t="shared" si="59"/>
        <v>1.3845585323780357E-3</v>
      </c>
      <c r="BV113" s="173">
        <f t="shared" si="60"/>
        <v>337336.43</v>
      </c>
      <c r="BW113" s="176">
        <f t="shared" si="61"/>
        <v>1.9667816344230453E-3</v>
      </c>
      <c r="BX113" s="177">
        <f t="shared" si="62"/>
        <v>0</v>
      </c>
      <c r="BY113" s="178">
        <f t="shared" si="63"/>
        <v>0</v>
      </c>
      <c r="BZ113" s="4"/>
      <c r="CA113" s="4"/>
      <c r="CB113" s="4"/>
      <c r="CC113" s="4"/>
      <c r="CD113" s="4"/>
      <c r="CE113" s="4"/>
      <c r="CF113" s="4"/>
      <c r="CG113" s="126">
        <f t="shared" si="64"/>
        <v>1075468.2026031001</v>
      </c>
      <c r="CH113" s="126">
        <f t="shared" si="65"/>
        <v>442943.45739690005</v>
      </c>
      <c r="CI113" s="126"/>
      <c r="CJ113" s="126"/>
      <c r="CK113" s="9"/>
      <c r="CL113" s="9"/>
      <c r="CM113" s="127"/>
      <c r="CN113" s="9"/>
      <c r="CO113" s="9"/>
      <c r="CP113" s="9"/>
      <c r="CQ113" s="126"/>
      <c r="CR113" s="126"/>
      <c r="CS113" s="126"/>
      <c r="CT113" s="126"/>
      <c r="CU113" s="126"/>
      <c r="CV113" s="9"/>
      <c r="CW113" s="9"/>
      <c r="CX113" s="127"/>
      <c r="CY113" s="67"/>
      <c r="CZ113" s="67"/>
    </row>
    <row r="114" spans="1:104" x14ac:dyDescent="0.35">
      <c r="A114" s="143">
        <v>109</v>
      </c>
      <c r="B114" s="116" t="s">
        <v>562</v>
      </c>
      <c r="C114" s="144">
        <v>11324386.153247764</v>
      </c>
      <c r="D114" s="144">
        <v>1206631.6000000001</v>
      </c>
      <c r="E114" s="144">
        <v>249118.24</v>
      </c>
      <c r="F114" s="145">
        <f t="shared" si="38"/>
        <v>1455749.84</v>
      </c>
      <c r="G114" s="144"/>
      <c r="H114" s="144"/>
      <c r="I114" s="145"/>
      <c r="J114" s="144">
        <v>256186.64</v>
      </c>
      <c r="K114" s="144">
        <v>56109.81</v>
      </c>
      <c r="L114" s="145">
        <f t="shared" si="39"/>
        <v>312296.45</v>
      </c>
      <c r="M114" s="146">
        <v>136400.35999999999</v>
      </c>
      <c r="N114" s="146">
        <v>10887.57</v>
      </c>
      <c r="O114" s="145">
        <f t="shared" si="40"/>
        <v>147287.93</v>
      </c>
      <c r="P114" s="144">
        <v>846943.91</v>
      </c>
      <c r="Q114" s="144">
        <v>67603.62</v>
      </c>
      <c r="R114" s="147">
        <f t="shared" si="41"/>
        <v>914547.53</v>
      </c>
      <c r="S114" s="117">
        <v>0</v>
      </c>
      <c r="T114" s="117">
        <v>0</v>
      </c>
      <c r="U114" s="146">
        <v>0</v>
      </c>
      <c r="V114" s="146">
        <v>0</v>
      </c>
      <c r="W114" s="4"/>
      <c r="X114" s="4"/>
      <c r="Y114" s="4"/>
      <c r="Z114" s="4"/>
      <c r="AA114" s="4"/>
      <c r="AB114" s="4"/>
      <c r="AC114" s="4"/>
      <c r="AD114" s="4"/>
      <c r="AE114" s="4"/>
      <c r="AF114" s="118">
        <f t="shared" si="42"/>
        <v>312296.45</v>
      </c>
      <c r="AG114" s="112">
        <f t="shared" si="42"/>
        <v>136400.35999999999</v>
      </c>
      <c r="AH114" s="112">
        <f t="shared" si="42"/>
        <v>10887.57</v>
      </c>
      <c r="AI114" s="10">
        <f t="shared" si="43"/>
        <v>83945.567685369999</v>
      </c>
      <c r="AJ114" s="10">
        <f t="shared" si="44"/>
        <v>33619.510752699993</v>
      </c>
      <c r="AK114" s="10">
        <f t="shared" si="45"/>
        <v>274.39741358999999</v>
      </c>
      <c r="AL114" s="10">
        <f t="shared" si="46"/>
        <v>29448.454148339995</v>
      </c>
      <c r="AM114" s="10">
        <f t="shared" si="47"/>
        <v>0</v>
      </c>
      <c r="AN114" s="9">
        <f t="shared" si="48"/>
        <v>0</v>
      </c>
      <c r="AO114" s="10">
        <f t="shared" si="49"/>
        <v>0</v>
      </c>
      <c r="AP114" s="66">
        <f t="shared" si="50"/>
        <v>966518.86340664665</v>
      </c>
      <c r="AQ114" s="66">
        <f t="shared" si="51"/>
        <v>335196.80366857798</v>
      </c>
      <c r="AR114" s="66">
        <f t="shared" si="52"/>
        <v>3122.9515869743291</v>
      </c>
      <c r="AS114" s="66">
        <f t="shared" si="53"/>
        <v>78073.789674358224</v>
      </c>
      <c r="AT114" s="66"/>
      <c r="AU114" s="4"/>
      <c r="AV114" s="4"/>
      <c r="AW114" s="4"/>
      <c r="AX114" s="4"/>
      <c r="AY114" s="4"/>
      <c r="AZ114" s="4"/>
      <c r="BA114" s="4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9">
        <f t="shared" si="37"/>
        <v>1842496.7883365571</v>
      </c>
      <c r="BN114" s="9">
        <f t="shared" si="66"/>
        <v>1415109.6889089346</v>
      </c>
      <c r="BO114" s="9">
        <f t="shared" si="54"/>
        <v>423989.7504270582</v>
      </c>
      <c r="BP114" s="9">
        <f t="shared" si="55"/>
        <v>3397.3490005643289</v>
      </c>
      <c r="BQ114" s="10">
        <f t="shared" si="56"/>
        <v>0</v>
      </c>
      <c r="BR114" s="9">
        <f t="shared" si="57"/>
        <v>1842496.7883365571</v>
      </c>
      <c r="BS114" s="142">
        <f t="shared" si="67"/>
        <v>1301715.6670752247</v>
      </c>
      <c r="BT114" s="83">
        <f t="shared" si="58"/>
        <v>1301716</v>
      </c>
      <c r="BU114" s="175">
        <f t="shared" si="59"/>
        <v>1.2710258648517816E-3</v>
      </c>
      <c r="BV114" s="173">
        <f t="shared" si="60"/>
        <v>312296.45</v>
      </c>
      <c r="BW114" s="176">
        <f t="shared" si="61"/>
        <v>1.8207903675138643E-3</v>
      </c>
      <c r="BX114" s="177">
        <f t="shared" si="62"/>
        <v>0</v>
      </c>
      <c r="BY114" s="178">
        <f t="shared" si="63"/>
        <v>0</v>
      </c>
      <c r="BZ114" s="4"/>
      <c r="CA114" s="4"/>
      <c r="CB114" s="4"/>
      <c r="CC114" s="4"/>
      <c r="CD114" s="4"/>
      <c r="CE114" s="4"/>
      <c r="CF114" s="4"/>
      <c r="CG114" s="126">
        <f t="shared" si="64"/>
        <v>1031085.7754244001</v>
      </c>
      <c r="CH114" s="126">
        <f t="shared" si="65"/>
        <v>424664.06457560003</v>
      </c>
      <c r="CI114" s="126"/>
      <c r="CJ114" s="126"/>
      <c r="CK114" s="9"/>
      <c r="CL114" s="9"/>
      <c r="CM114" s="127"/>
      <c r="CN114" s="9"/>
      <c r="CO114" s="9"/>
      <c r="CP114" s="9"/>
      <c r="CQ114" s="126"/>
      <c r="CR114" s="126"/>
      <c r="CS114" s="126"/>
      <c r="CT114" s="126"/>
      <c r="CU114" s="126"/>
      <c r="CV114" s="9"/>
      <c r="CW114" s="9"/>
      <c r="CX114" s="127"/>
      <c r="CY114" s="67"/>
      <c r="CZ114" s="67"/>
    </row>
    <row r="115" spans="1:104" x14ac:dyDescent="0.35">
      <c r="A115" s="143">
        <v>110</v>
      </c>
      <c r="B115" s="116" t="s">
        <v>563</v>
      </c>
      <c r="C115" s="144">
        <v>7929044.8852586541</v>
      </c>
      <c r="D115" s="144">
        <v>706553.49</v>
      </c>
      <c r="E115" s="144">
        <v>312725.23</v>
      </c>
      <c r="F115" s="145">
        <f t="shared" si="38"/>
        <v>1019278.72</v>
      </c>
      <c r="G115" s="144"/>
      <c r="H115" s="144"/>
      <c r="I115" s="145"/>
      <c r="J115" s="144">
        <v>152789.79</v>
      </c>
      <c r="K115" s="144">
        <v>59260.84</v>
      </c>
      <c r="L115" s="145">
        <f t="shared" si="39"/>
        <v>212050.63</v>
      </c>
      <c r="M115" s="146">
        <v>64961.85</v>
      </c>
      <c r="N115" s="146">
        <v>73659.98</v>
      </c>
      <c r="O115" s="145">
        <f t="shared" si="40"/>
        <v>138621.82999999999</v>
      </c>
      <c r="P115" s="144">
        <v>403365.15</v>
      </c>
      <c r="Q115" s="144">
        <v>457374.16</v>
      </c>
      <c r="R115" s="147">
        <f t="shared" si="41"/>
        <v>860739.31</v>
      </c>
      <c r="S115" s="117">
        <v>0</v>
      </c>
      <c r="T115" s="117">
        <v>0</v>
      </c>
      <c r="U115" s="146">
        <v>0</v>
      </c>
      <c r="V115" s="146">
        <v>0</v>
      </c>
      <c r="W115" s="4"/>
      <c r="X115" s="4"/>
      <c r="Y115" s="4"/>
      <c r="Z115" s="4"/>
      <c r="AA115" s="4"/>
      <c r="AB115" s="4"/>
      <c r="AC115" s="4"/>
      <c r="AD115" s="4"/>
      <c r="AE115" s="4"/>
      <c r="AF115" s="118">
        <f t="shared" si="42"/>
        <v>212050.63</v>
      </c>
      <c r="AG115" s="112">
        <f t="shared" si="42"/>
        <v>64961.85</v>
      </c>
      <c r="AH115" s="112">
        <f t="shared" si="42"/>
        <v>73659.98</v>
      </c>
      <c r="AI115" s="10">
        <f t="shared" si="43"/>
        <v>82943.897972299994</v>
      </c>
      <c r="AJ115" s="10">
        <f t="shared" si="44"/>
        <v>27703.908111869998</v>
      </c>
      <c r="AK115" s="10">
        <f t="shared" si="45"/>
        <v>258.25246929000002</v>
      </c>
      <c r="AL115" s="10">
        <f t="shared" si="46"/>
        <v>27715.771446539999</v>
      </c>
      <c r="AM115" s="10">
        <f t="shared" si="47"/>
        <v>0</v>
      </c>
      <c r="AN115" s="9">
        <f t="shared" si="48"/>
        <v>0</v>
      </c>
      <c r="AO115" s="10">
        <f t="shared" si="49"/>
        <v>0</v>
      </c>
      <c r="AP115" s="66">
        <f t="shared" si="50"/>
        <v>663322.60899307253</v>
      </c>
      <c r="AQ115" s="66">
        <f t="shared" si="51"/>
        <v>227599.43952332868</v>
      </c>
      <c r="AR115" s="66">
        <f t="shared" si="52"/>
        <v>2120.4916725775961</v>
      </c>
      <c r="AS115" s="66">
        <f t="shared" si="53"/>
        <v>53012.291814439901</v>
      </c>
      <c r="AT115" s="66"/>
      <c r="AU115" s="4"/>
      <c r="AV115" s="4"/>
      <c r="AW115" s="4"/>
      <c r="AX115" s="4"/>
      <c r="AY115" s="4"/>
      <c r="AZ115" s="4"/>
      <c r="BA115" s="4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9">
        <f t="shared" si="37"/>
        <v>1296727.2920034188</v>
      </c>
      <c r="BN115" s="9">
        <f t="shared" si="66"/>
        <v>1001581.7179352412</v>
      </c>
      <c r="BO115" s="9">
        <f t="shared" si="54"/>
        <v>292766.82992630987</v>
      </c>
      <c r="BP115" s="9">
        <f t="shared" si="55"/>
        <v>2378.7441418675962</v>
      </c>
      <c r="BQ115" s="10">
        <f t="shared" si="56"/>
        <v>0</v>
      </c>
      <c r="BR115" s="9">
        <f t="shared" si="57"/>
        <v>1296727.2920034186</v>
      </c>
      <c r="BS115" s="142">
        <f t="shared" si="67"/>
        <v>890922.04851640121</v>
      </c>
      <c r="BT115" s="83">
        <f t="shared" si="58"/>
        <v>890922</v>
      </c>
      <c r="BU115" s="175">
        <f t="shared" si="59"/>
        <v>8.6991729136624157E-4</v>
      </c>
      <c r="BV115" s="173">
        <f t="shared" si="60"/>
        <v>212050.63</v>
      </c>
      <c r="BW115" s="176">
        <f t="shared" si="61"/>
        <v>1.2363244748034967E-3</v>
      </c>
      <c r="BX115" s="177">
        <f t="shared" si="62"/>
        <v>0</v>
      </c>
      <c r="BY115" s="178">
        <f t="shared" si="63"/>
        <v>0</v>
      </c>
      <c r="BZ115" s="4"/>
      <c r="CA115" s="4"/>
      <c r="CB115" s="4"/>
      <c r="CC115" s="4"/>
      <c r="CD115" s="4"/>
      <c r="CE115" s="4"/>
      <c r="CF115" s="4"/>
      <c r="CG115" s="126">
        <f t="shared" si="64"/>
        <v>721939.82819520007</v>
      </c>
      <c r="CH115" s="126">
        <f t="shared" si="65"/>
        <v>297338.89180480002</v>
      </c>
      <c r="CI115" s="126"/>
      <c r="CJ115" s="126"/>
      <c r="CK115" s="9"/>
      <c r="CL115" s="9"/>
      <c r="CM115" s="127"/>
      <c r="CN115" s="9"/>
      <c r="CO115" s="9"/>
      <c r="CP115" s="9"/>
      <c r="CQ115" s="126"/>
      <c r="CR115" s="126"/>
      <c r="CS115" s="126"/>
      <c r="CT115" s="126"/>
      <c r="CU115" s="126"/>
      <c r="CV115" s="9"/>
      <c r="CW115" s="9"/>
      <c r="CX115" s="127"/>
      <c r="CY115" s="67"/>
      <c r="CZ115" s="67"/>
    </row>
    <row r="116" spans="1:104" x14ac:dyDescent="0.35">
      <c r="A116" s="143">
        <v>111</v>
      </c>
      <c r="B116" s="116" t="s">
        <v>564</v>
      </c>
      <c r="C116" s="144">
        <v>9242389.8872034233</v>
      </c>
      <c r="D116" s="144">
        <v>946465.04</v>
      </c>
      <c r="E116" s="144">
        <v>241644.18</v>
      </c>
      <c r="F116" s="145">
        <f t="shared" si="38"/>
        <v>1188109.22</v>
      </c>
      <c r="G116" s="144"/>
      <c r="H116" s="144"/>
      <c r="I116" s="145"/>
      <c r="J116" s="144">
        <v>208109.36</v>
      </c>
      <c r="K116" s="144">
        <v>54290.42</v>
      </c>
      <c r="L116" s="145">
        <f t="shared" si="39"/>
        <v>262399.77999999997</v>
      </c>
      <c r="M116" s="146">
        <v>68552.789999999994</v>
      </c>
      <c r="N116" s="146">
        <v>11283.65</v>
      </c>
      <c r="O116" s="145">
        <f t="shared" si="40"/>
        <v>79836.439999999988</v>
      </c>
      <c r="P116" s="144">
        <v>425662.02</v>
      </c>
      <c r="Q116" s="144">
        <v>70063.77</v>
      </c>
      <c r="R116" s="147">
        <f t="shared" si="41"/>
        <v>495725.79000000004</v>
      </c>
      <c r="S116" s="117">
        <v>0</v>
      </c>
      <c r="T116" s="117">
        <v>0</v>
      </c>
      <c r="U116" s="146">
        <v>0</v>
      </c>
      <c r="V116" s="146">
        <v>0</v>
      </c>
      <c r="W116" s="4"/>
      <c r="X116" s="4"/>
      <c r="Y116" s="4"/>
      <c r="Z116" s="4"/>
      <c r="AA116" s="4"/>
      <c r="AB116" s="4"/>
      <c r="AC116" s="4"/>
      <c r="AD116" s="4"/>
      <c r="AE116" s="4"/>
      <c r="AF116" s="118">
        <f t="shared" si="42"/>
        <v>262399.77999999997</v>
      </c>
      <c r="AG116" s="112">
        <f t="shared" si="42"/>
        <v>68552.789999999994</v>
      </c>
      <c r="AH116" s="112">
        <f t="shared" si="42"/>
        <v>11283.65</v>
      </c>
      <c r="AI116" s="10">
        <f t="shared" si="43"/>
        <v>45836.326706329994</v>
      </c>
      <c r="AJ116" s="10">
        <f t="shared" si="44"/>
        <v>17889.039865229999</v>
      </c>
      <c r="AK116" s="10">
        <f t="shared" si="45"/>
        <v>148.73528771999997</v>
      </c>
      <c r="AL116" s="10">
        <f t="shared" si="46"/>
        <v>15962.33814072</v>
      </c>
      <c r="AM116" s="10">
        <f t="shared" si="47"/>
        <v>0</v>
      </c>
      <c r="AN116" s="9">
        <f t="shared" si="48"/>
        <v>0</v>
      </c>
      <c r="AO116" s="10">
        <f t="shared" si="49"/>
        <v>0</v>
      </c>
      <c r="AP116" s="66">
        <f t="shared" si="50"/>
        <v>814480.80863041838</v>
      </c>
      <c r="AQ116" s="66">
        <f t="shared" si="51"/>
        <v>281642.5839299502</v>
      </c>
      <c r="AR116" s="66">
        <f t="shared" si="52"/>
        <v>2623.9992291610265</v>
      </c>
      <c r="AS116" s="66">
        <f t="shared" si="53"/>
        <v>65599.980729025672</v>
      </c>
      <c r="AT116" s="66"/>
      <c r="AU116" s="4"/>
      <c r="AV116" s="4"/>
      <c r="AW116" s="4"/>
      <c r="AX116" s="4"/>
      <c r="AY116" s="4"/>
      <c r="AZ116" s="4"/>
      <c r="BA116" s="4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9">
        <f t="shared" si="37"/>
        <v>1506583.5925185552</v>
      </c>
      <c r="BN116" s="9">
        <f t="shared" si="66"/>
        <v>1157922.0574074185</v>
      </c>
      <c r="BO116" s="9">
        <f t="shared" si="54"/>
        <v>345888.80059425562</v>
      </c>
      <c r="BP116" s="9">
        <f t="shared" si="55"/>
        <v>2772.7345168810266</v>
      </c>
      <c r="BQ116" s="10">
        <f t="shared" si="56"/>
        <v>0</v>
      </c>
      <c r="BR116" s="9">
        <f t="shared" si="57"/>
        <v>1506583.592518555</v>
      </c>
      <c r="BS116" s="142">
        <f t="shared" si="67"/>
        <v>1096123.3925603686</v>
      </c>
      <c r="BT116" s="83">
        <f t="shared" si="58"/>
        <v>1096123</v>
      </c>
      <c r="BU116" s="175">
        <f t="shared" si="59"/>
        <v>1.070280721245095E-3</v>
      </c>
      <c r="BV116" s="173">
        <f t="shared" si="60"/>
        <v>262399.77999999997</v>
      </c>
      <c r="BW116" s="176">
        <f t="shared" si="61"/>
        <v>1.5298764742979211E-3</v>
      </c>
      <c r="BX116" s="177">
        <f t="shared" si="62"/>
        <v>0</v>
      </c>
      <c r="BY116" s="178">
        <f t="shared" si="63"/>
        <v>0</v>
      </c>
      <c r="BZ116" s="4"/>
      <c r="CA116" s="4"/>
      <c r="CB116" s="4"/>
      <c r="CC116" s="4"/>
      <c r="CD116" s="4"/>
      <c r="CE116" s="4"/>
      <c r="CF116" s="4"/>
      <c r="CG116" s="126">
        <f t="shared" si="64"/>
        <v>841519.93888770009</v>
      </c>
      <c r="CH116" s="126">
        <f t="shared" si="65"/>
        <v>346589.2811123</v>
      </c>
      <c r="CI116" s="126"/>
      <c r="CJ116" s="126"/>
      <c r="CK116" s="9"/>
      <c r="CL116" s="9"/>
      <c r="CM116" s="127"/>
      <c r="CN116" s="9"/>
      <c r="CO116" s="9"/>
      <c r="CP116" s="9"/>
      <c r="CQ116" s="126"/>
      <c r="CR116" s="126"/>
      <c r="CS116" s="126"/>
      <c r="CT116" s="126"/>
      <c r="CU116" s="126"/>
      <c r="CV116" s="9"/>
      <c r="CW116" s="9"/>
      <c r="CX116" s="127"/>
      <c r="CY116" s="67"/>
      <c r="CZ116" s="67"/>
    </row>
    <row r="117" spans="1:104" x14ac:dyDescent="0.35">
      <c r="A117" s="143">
        <v>112</v>
      </c>
      <c r="B117" s="116" t="s">
        <v>565</v>
      </c>
      <c r="C117" s="144">
        <v>5810156.9817191763</v>
      </c>
      <c r="D117" s="144">
        <v>589936.03</v>
      </c>
      <c r="E117" s="144">
        <v>156959.65</v>
      </c>
      <c r="F117" s="145">
        <f t="shared" si="38"/>
        <v>746895.68</v>
      </c>
      <c r="G117" s="144"/>
      <c r="H117" s="144"/>
      <c r="I117" s="145"/>
      <c r="J117" s="144">
        <v>122759.36</v>
      </c>
      <c r="K117" s="144">
        <v>30590.84</v>
      </c>
      <c r="L117" s="145">
        <f t="shared" si="39"/>
        <v>153350.20000000001</v>
      </c>
      <c r="M117" s="146">
        <v>80074.91</v>
      </c>
      <c r="N117" s="146">
        <v>32418.45</v>
      </c>
      <c r="O117" s="145">
        <f t="shared" si="40"/>
        <v>112493.36</v>
      </c>
      <c r="P117" s="144">
        <v>497205.95</v>
      </c>
      <c r="Q117" s="144">
        <v>201293.69</v>
      </c>
      <c r="R117" s="147">
        <f t="shared" si="41"/>
        <v>698499.64</v>
      </c>
      <c r="S117" s="117">
        <v>0</v>
      </c>
      <c r="T117" s="117">
        <v>0</v>
      </c>
      <c r="U117" s="146">
        <v>0</v>
      </c>
      <c r="V117" s="146">
        <v>0</v>
      </c>
      <c r="W117" s="4"/>
      <c r="X117" s="4"/>
      <c r="Y117" s="4"/>
      <c r="Z117" s="4"/>
      <c r="AA117" s="4"/>
      <c r="AB117" s="4"/>
      <c r="AC117" s="4"/>
      <c r="AD117" s="4"/>
      <c r="AE117" s="4"/>
      <c r="AF117" s="118">
        <f t="shared" si="42"/>
        <v>153350.20000000001</v>
      </c>
      <c r="AG117" s="112">
        <f t="shared" si="42"/>
        <v>80074.91</v>
      </c>
      <c r="AH117" s="112">
        <f t="shared" si="42"/>
        <v>32418.45</v>
      </c>
      <c r="AI117" s="10">
        <f t="shared" si="43"/>
        <v>65611.304878569994</v>
      </c>
      <c r="AJ117" s="10">
        <f t="shared" si="44"/>
        <v>24180.782580070001</v>
      </c>
      <c r="AK117" s="10">
        <f t="shared" si="45"/>
        <v>209.57512968000003</v>
      </c>
      <c r="AL117" s="10">
        <f t="shared" si="46"/>
        <v>22491.697411680001</v>
      </c>
      <c r="AM117" s="10">
        <f t="shared" si="47"/>
        <v>0</v>
      </c>
      <c r="AN117" s="9">
        <f t="shared" si="48"/>
        <v>0</v>
      </c>
      <c r="AO117" s="10">
        <f t="shared" si="49"/>
        <v>0</v>
      </c>
      <c r="AP117" s="66">
        <f t="shared" si="50"/>
        <v>475613.47184260527</v>
      </c>
      <c r="AQ117" s="66">
        <f t="shared" si="51"/>
        <v>164595.36640335748</v>
      </c>
      <c r="AR117" s="66">
        <f t="shared" si="52"/>
        <v>1533.4972025157526</v>
      </c>
      <c r="AS117" s="66">
        <f t="shared" si="53"/>
        <v>38337.430062893822</v>
      </c>
      <c r="AT117" s="66"/>
      <c r="AU117" s="4"/>
      <c r="AV117" s="4"/>
      <c r="AW117" s="4"/>
      <c r="AX117" s="4"/>
      <c r="AY117" s="4"/>
      <c r="AZ117" s="4"/>
      <c r="BA117" s="4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9">
        <f t="shared" si="37"/>
        <v>945923.32551137218</v>
      </c>
      <c r="BN117" s="9">
        <f t="shared" si="66"/>
        <v>728311.84053621278</v>
      </c>
      <c r="BO117" s="9">
        <f t="shared" si="54"/>
        <v>215868.41264296381</v>
      </c>
      <c r="BP117" s="9">
        <f t="shared" si="55"/>
        <v>1743.0723321957526</v>
      </c>
      <c r="BQ117" s="10">
        <f t="shared" si="56"/>
        <v>0</v>
      </c>
      <c r="BR117" s="9">
        <f t="shared" si="57"/>
        <v>945923.3255113723</v>
      </c>
      <c r="BS117" s="142">
        <f t="shared" si="67"/>
        <v>640208.83824596275</v>
      </c>
      <c r="BT117" s="83">
        <f t="shared" si="58"/>
        <v>640209</v>
      </c>
      <c r="BU117" s="175">
        <f t="shared" si="59"/>
        <v>6.2511500237655586E-4</v>
      </c>
      <c r="BV117" s="173">
        <f t="shared" si="60"/>
        <v>153350.20000000001</v>
      </c>
      <c r="BW117" s="176">
        <f t="shared" si="61"/>
        <v>8.9408178356278011E-4</v>
      </c>
      <c r="BX117" s="177">
        <f t="shared" si="62"/>
        <v>0</v>
      </c>
      <c r="BY117" s="178">
        <f t="shared" si="63"/>
        <v>0</v>
      </c>
      <c r="BZ117" s="4"/>
      <c r="CA117" s="4"/>
      <c r="CB117" s="4"/>
      <c r="CC117" s="4"/>
      <c r="CD117" s="4"/>
      <c r="CE117" s="4"/>
      <c r="CF117" s="4"/>
      <c r="CG117" s="126">
        <f t="shared" si="64"/>
        <v>529015.00670880009</v>
      </c>
      <c r="CH117" s="126">
        <f t="shared" si="65"/>
        <v>217880.67329120002</v>
      </c>
      <c r="CI117" s="126"/>
      <c r="CJ117" s="126"/>
      <c r="CK117" s="9"/>
      <c r="CL117" s="9"/>
      <c r="CM117" s="127"/>
      <c r="CN117" s="9"/>
      <c r="CO117" s="9"/>
      <c r="CP117" s="9"/>
      <c r="CQ117" s="126"/>
      <c r="CR117" s="126"/>
      <c r="CS117" s="126"/>
      <c r="CT117" s="126"/>
      <c r="CU117" s="126"/>
      <c r="CV117" s="9"/>
      <c r="CW117" s="9"/>
      <c r="CX117" s="127"/>
      <c r="CY117" s="67"/>
      <c r="CZ117" s="67"/>
    </row>
    <row r="118" spans="1:104" x14ac:dyDescent="0.35">
      <c r="A118" s="143">
        <v>113</v>
      </c>
      <c r="B118" s="116" t="s">
        <v>566</v>
      </c>
      <c r="C118" s="144">
        <v>10086143.13496694</v>
      </c>
      <c r="D118" s="144">
        <v>814170.79</v>
      </c>
      <c r="E118" s="144">
        <v>482402.91</v>
      </c>
      <c r="F118" s="145">
        <f t="shared" si="38"/>
        <v>1296573.7</v>
      </c>
      <c r="G118" s="144"/>
      <c r="H118" s="144"/>
      <c r="I118" s="145"/>
      <c r="J118" s="144">
        <v>176271.44</v>
      </c>
      <c r="K118" s="144">
        <v>99573.34</v>
      </c>
      <c r="L118" s="145">
        <f t="shared" si="39"/>
        <v>275844.78000000003</v>
      </c>
      <c r="M118" s="146">
        <v>73732.399999999994</v>
      </c>
      <c r="N118" s="146">
        <v>69827.429999999993</v>
      </c>
      <c r="O118" s="145">
        <f t="shared" si="40"/>
        <v>143559.82999999999</v>
      </c>
      <c r="P118" s="144">
        <v>457823.33</v>
      </c>
      <c r="Q118" s="144">
        <v>433577.1</v>
      </c>
      <c r="R118" s="147">
        <f t="shared" si="41"/>
        <v>891400.42999999993</v>
      </c>
      <c r="S118" s="117">
        <v>0</v>
      </c>
      <c r="T118" s="117">
        <v>0</v>
      </c>
      <c r="U118" s="146">
        <v>0</v>
      </c>
      <c r="V118" s="146">
        <v>0</v>
      </c>
      <c r="W118" s="4"/>
      <c r="X118" s="4"/>
      <c r="Y118" s="4"/>
      <c r="Z118" s="4"/>
      <c r="AA118" s="4"/>
      <c r="AB118" s="4"/>
      <c r="AC118" s="4"/>
      <c r="AD118" s="4"/>
      <c r="AE118" s="4"/>
      <c r="AF118" s="118">
        <f t="shared" si="42"/>
        <v>275844.78000000003</v>
      </c>
      <c r="AG118" s="112">
        <f t="shared" si="42"/>
        <v>73732.399999999994</v>
      </c>
      <c r="AH118" s="112">
        <f t="shared" si="42"/>
        <v>69827.429999999993</v>
      </c>
      <c r="AI118" s="10">
        <f t="shared" si="43"/>
        <v>85497.63162114998</v>
      </c>
      <c r="AJ118" s="10">
        <f t="shared" si="44"/>
        <v>29091.681125019997</v>
      </c>
      <c r="AK118" s="10">
        <f t="shared" si="45"/>
        <v>267.45196328999998</v>
      </c>
      <c r="AL118" s="10">
        <f t="shared" si="46"/>
        <v>28703.065290539998</v>
      </c>
      <c r="AM118" s="10">
        <f t="shared" si="47"/>
        <v>0</v>
      </c>
      <c r="AN118" s="9">
        <f t="shared" si="48"/>
        <v>0</v>
      </c>
      <c r="AO118" s="10">
        <f t="shared" si="49"/>
        <v>0</v>
      </c>
      <c r="AP118" s="66">
        <f t="shared" si="50"/>
        <v>870372.03303403093</v>
      </c>
      <c r="AQ118" s="66">
        <f t="shared" si="51"/>
        <v>296070.71509993542</v>
      </c>
      <c r="AR118" s="66">
        <f t="shared" si="52"/>
        <v>2758.4228114900816</v>
      </c>
      <c r="AS118" s="66">
        <f t="shared" si="53"/>
        <v>68960.570287252034</v>
      </c>
      <c r="AT118" s="66"/>
      <c r="AU118" s="4"/>
      <c r="AV118" s="4"/>
      <c r="AW118" s="4"/>
      <c r="AX118" s="4"/>
      <c r="AY118" s="4"/>
      <c r="AZ118" s="4"/>
      <c r="BA118" s="4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9">
        <f t="shared" si="37"/>
        <v>1657566.3512327084</v>
      </c>
      <c r="BN118" s="9">
        <f t="shared" si="66"/>
        <v>1280643.4450456563</v>
      </c>
      <c r="BO118" s="9">
        <f t="shared" si="54"/>
        <v>373897.03141227207</v>
      </c>
      <c r="BP118" s="9">
        <f t="shared" si="55"/>
        <v>3025.8747747800817</v>
      </c>
      <c r="BQ118" s="10">
        <f t="shared" si="56"/>
        <v>0</v>
      </c>
      <c r="BR118" s="9">
        <f t="shared" si="57"/>
        <v>1657566.3512327084</v>
      </c>
      <c r="BS118" s="142">
        <f t="shared" si="67"/>
        <v>1166442.7481339662</v>
      </c>
      <c r="BT118" s="83">
        <f t="shared" si="58"/>
        <v>1166443</v>
      </c>
      <c r="BU118" s="175">
        <f t="shared" si="59"/>
        <v>1.1389421977828793E-3</v>
      </c>
      <c r="BV118" s="173">
        <f t="shared" si="60"/>
        <v>275844.78000000003</v>
      </c>
      <c r="BW118" s="176">
        <f t="shared" si="61"/>
        <v>1.6082652183621717E-3</v>
      </c>
      <c r="BX118" s="177">
        <f t="shared" si="62"/>
        <v>0</v>
      </c>
      <c r="BY118" s="178">
        <f t="shared" si="63"/>
        <v>0</v>
      </c>
      <c r="BZ118" s="4"/>
      <c r="CA118" s="4"/>
      <c r="CB118" s="4"/>
      <c r="CC118" s="4"/>
      <c r="CD118" s="4"/>
      <c r="CE118" s="4"/>
      <c r="CF118" s="4"/>
      <c r="CG118" s="126">
        <f t="shared" si="64"/>
        <v>918343.70310450019</v>
      </c>
      <c r="CH118" s="126">
        <f t="shared" si="65"/>
        <v>378229.99689549999</v>
      </c>
      <c r="CI118" s="126"/>
      <c r="CJ118" s="126"/>
      <c r="CK118" s="9"/>
      <c r="CL118" s="9"/>
      <c r="CM118" s="127"/>
      <c r="CN118" s="9"/>
      <c r="CO118" s="9"/>
      <c r="CP118" s="9"/>
      <c r="CQ118" s="126"/>
      <c r="CR118" s="126"/>
      <c r="CS118" s="126"/>
      <c r="CT118" s="126"/>
      <c r="CU118" s="126"/>
      <c r="CV118" s="9"/>
      <c r="CW118" s="9"/>
      <c r="CX118" s="127"/>
      <c r="CY118" s="67"/>
      <c r="CZ118" s="67"/>
    </row>
    <row r="119" spans="1:104" x14ac:dyDescent="0.35">
      <c r="A119" s="143">
        <v>114</v>
      </c>
      <c r="B119" s="116" t="s">
        <v>567</v>
      </c>
      <c r="C119" s="144">
        <v>58057426.682224818</v>
      </c>
      <c r="D119" s="144">
        <v>5020365.72</v>
      </c>
      <c r="E119" s="144">
        <v>2442916.48</v>
      </c>
      <c r="F119" s="145">
        <f t="shared" si="38"/>
        <v>7463282.1999999993</v>
      </c>
      <c r="G119" s="144"/>
      <c r="H119" s="144"/>
      <c r="I119" s="145"/>
      <c r="J119" s="144">
        <v>1156315.19</v>
      </c>
      <c r="K119" s="144">
        <v>535424.19999999995</v>
      </c>
      <c r="L119" s="145">
        <f t="shared" si="39"/>
        <v>1691739.39</v>
      </c>
      <c r="M119" s="146">
        <v>82184.289999999994</v>
      </c>
      <c r="N119" s="146">
        <v>186204.24</v>
      </c>
      <c r="O119" s="145">
        <f t="shared" si="40"/>
        <v>268388.52999999997</v>
      </c>
      <c r="P119" s="144">
        <v>510302.53</v>
      </c>
      <c r="Q119" s="144">
        <v>1156191.8899999999</v>
      </c>
      <c r="R119" s="147">
        <f t="shared" si="41"/>
        <v>1666494.42</v>
      </c>
      <c r="S119" s="117">
        <v>9985.94</v>
      </c>
      <c r="T119" s="117">
        <v>0</v>
      </c>
      <c r="U119" s="146">
        <v>0</v>
      </c>
      <c r="V119" s="146">
        <v>0</v>
      </c>
      <c r="W119" s="4"/>
      <c r="X119" s="4"/>
      <c r="Y119" s="4"/>
      <c r="Z119" s="4"/>
      <c r="AA119" s="4"/>
      <c r="AB119" s="4"/>
      <c r="AC119" s="4"/>
      <c r="AD119" s="4"/>
      <c r="AE119" s="4"/>
      <c r="AF119" s="118">
        <f t="shared" si="42"/>
        <v>1691739.39</v>
      </c>
      <c r="AG119" s="112">
        <f t="shared" si="42"/>
        <v>82184.289999999994</v>
      </c>
      <c r="AH119" s="112">
        <f t="shared" si="42"/>
        <v>186204.24</v>
      </c>
      <c r="AI119" s="10">
        <f t="shared" si="43"/>
        <v>163295.97208687998</v>
      </c>
      <c r="AJ119" s="10">
        <f t="shared" si="44"/>
        <v>50931.484170589989</v>
      </c>
      <c r="AK119" s="10">
        <f t="shared" si="45"/>
        <v>500.00783138999998</v>
      </c>
      <c r="AL119" s="10">
        <f t="shared" si="46"/>
        <v>53661.065911140002</v>
      </c>
      <c r="AM119" s="10">
        <f t="shared" si="47"/>
        <v>9985.94</v>
      </c>
      <c r="AN119" s="9">
        <f t="shared" si="48"/>
        <v>0</v>
      </c>
      <c r="AO119" s="10">
        <f t="shared" si="49"/>
        <v>0</v>
      </c>
      <c r="AP119" s="66">
        <f t="shared" si="50"/>
        <v>5312868.7514013182</v>
      </c>
      <c r="AQ119" s="66">
        <f t="shared" si="51"/>
        <v>1815788.0188436389</v>
      </c>
      <c r="AR119" s="66">
        <f t="shared" si="52"/>
        <v>16917.279678667444</v>
      </c>
      <c r="AS119" s="66">
        <f t="shared" si="53"/>
        <v>422931.99196668604</v>
      </c>
      <c r="AT119" s="66"/>
      <c r="AU119" s="4"/>
      <c r="AV119" s="4"/>
      <c r="AW119" s="4"/>
      <c r="AX119" s="4"/>
      <c r="AY119" s="4"/>
      <c r="AZ119" s="4"/>
      <c r="BA119" s="4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9">
        <f t="shared" si="37"/>
        <v>9538619.9018903114</v>
      </c>
      <c r="BN119" s="9">
        <f t="shared" si="66"/>
        <v>7355599.7482429771</v>
      </c>
      <c r="BO119" s="9">
        <f t="shared" si="54"/>
        <v>2165602.8661372759</v>
      </c>
      <c r="BP119" s="9">
        <f t="shared" si="55"/>
        <v>17417.287510057446</v>
      </c>
      <c r="BQ119" s="10">
        <f t="shared" si="56"/>
        <v>0</v>
      </c>
      <c r="BR119" s="9">
        <f t="shared" si="57"/>
        <v>9538619.9018903114</v>
      </c>
      <c r="BS119" s="142">
        <f t="shared" si="67"/>
        <v>7128656.7702449569</v>
      </c>
      <c r="BT119" s="83">
        <f t="shared" si="58"/>
        <v>7128657</v>
      </c>
      <c r="BU119" s="175">
        <f t="shared" si="59"/>
        <v>6.9605885262103836E-3</v>
      </c>
      <c r="BV119" s="173">
        <f t="shared" si="60"/>
        <v>1691739.39</v>
      </c>
      <c r="BW119" s="176">
        <f t="shared" si="61"/>
        <v>9.8633935341108751E-3</v>
      </c>
      <c r="BX119" s="177">
        <f t="shared" si="62"/>
        <v>0</v>
      </c>
      <c r="BY119" s="178">
        <f t="shared" si="63"/>
        <v>0</v>
      </c>
      <c r="BZ119" s="4"/>
      <c r="CA119" s="4"/>
      <c r="CB119" s="4"/>
      <c r="CC119" s="4"/>
      <c r="CD119" s="4"/>
      <c r="CE119" s="4"/>
      <c r="CF119" s="4"/>
      <c r="CG119" s="126">
        <f t="shared" si="64"/>
        <v>5286130.8330269996</v>
      </c>
      <c r="CH119" s="126">
        <f t="shared" si="65"/>
        <v>2177151.3669729996</v>
      </c>
      <c r="CI119" s="126"/>
      <c r="CJ119" s="126"/>
      <c r="CK119" s="9"/>
      <c r="CL119" s="9"/>
      <c r="CM119" s="127"/>
      <c r="CN119" s="9"/>
      <c r="CO119" s="9"/>
      <c r="CP119" s="9"/>
      <c r="CQ119" s="126"/>
      <c r="CR119" s="126"/>
      <c r="CS119" s="126"/>
      <c r="CT119" s="126"/>
      <c r="CU119" s="126"/>
      <c r="CV119" s="9"/>
      <c r="CW119" s="9"/>
      <c r="CX119" s="127"/>
      <c r="CY119" s="67"/>
      <c r="CZ119" s="67"/>
    </row>
    <row r="120" spans="1:104" x14ac:dyDescent="0.35">
      <c r="A120" s="143">
        <v>115</v>
      </c>
      <c r="B120" s="116" t="s">
        <v>568</v>
      </c>
      <c r="C120" s="144">
        <v>8005707.5068066902</v>
      </c>
      <c r="D120" s="144">
        <v>781230.56</v>
      </c>
      <c r="E120" s="144">
        <v>247903.14</v>
      </c>
      <c r="F120" s="145">
        <f t="shared" si="38"/>
        <v>1029133.7000000001</v>
      </c>
      <c r="G120" s="144"/>
      <c r="H120" s="144"/>
      <c r="I120" s="145"/>
      <c r="J120" s="144">
        <v>177134.36</v>
      </c>
      <c r="K120" s="144">
        <v>48825.52</v>
      </c>
      <c r="L120" s="145">
        <f t="shared" si="39"/>
        <v>225959.87999999998</v>
      </c>
      <c r="M120" s="146">
        <v>27832.9</v>
      </c>
      <c r="N120" s="146">
        <v>48468.87</v>
      </c>
      <c r="O120" s="145">
        <f t="shared" si="40"/>
        <v>76301.77</v>
      </c>
      <c r="P120" s="144">
        <v>172821.2</v>
      </c>
      <c r="Q120" s="144">
        <v>300954.84999999998</v>
      </c>
      <c r="R120" s="147">
        <f t="shared" si="41"/>
        <v>473776.05</v>
      </c>
      <c r="S120" s="117">
        <v>0</v>
      </c>
      <c r="T120" s="117">
        <v>0</v>
      </c>
      <c r="U120" s="146">
        <v>0</v>
      </c>
      <c r="V120" s="146">
        <v>0</v>
      </c>
      <c r="W120" s="4"/>
      <c r="X120" s="4"/>
      <c r="Y120" s="4"/>
      <c r="Z120" s="4"/>
      <c r="AA120" s="4"/>
      <c r="AB120" s="4"/>
      <c r="AC120" s="4"/>
      <c r="AD120" s="4"/>
      <c r="AE120" s="4"/>
      <c r="AF120" s="118">
        <f t="shared" si="42"/>
        <v>225959.87999999998</v>
      </c>
      <c r="AG120" s="112">
        <f t="shared" si="42"/>
        <v>27832.9</v>
      </c>
      <c r="AH120" s="112">
        <f t="shared" si="42"/>
        <v>48468.87</v>
      </c>
      <c r="AI120" s="10">
        <f t="shared" si="43"/>
        <v>46146.935817950005</v>
      </c>
      <c r="AJ120" s="10">
        <f t="shared" si="44"/>
        <v>14757.06069428</v>
      </c>
      <c r="AK120" s="10">
        <f t="shared" si="45"/>
        <v>142.15019751</v>
      </c>
      <c r="AL120" s="10">
        <f t="shared" si="46"/>
        <v>15255.623290260002</v>
      </c>
      <c r="AM120" s="10">
        <f t="shared" si="47"/>
        <v>0</v>
      </c>
      <c r="AN120" s="9">
        <f t="shared" si="48"/>
        <v>0</v>
      </c>
      <c r="AO120" s="10">
        <f t="shared" si="49"/>
        <v>0</v>
      </c>
      <c r="AP120" s="66">
        <f t="shared" si="50"/>
        <v>702057.38007048727</v>
      </c>
      <c r="AQ120" s="66">
        <f t="shared" si="51"/>
        <v>242528.19290917541</v>
      </c>
      <c r="AR120" s="66">
        <f t="shared" si="52"/>
        <v>2259.5794370420072</v>
      </c>
      <c r="AS120" s="66">
        <f t="shared" si="53"/>
        <v>56489.485926050176</v>
      </c>
      <c r="AT120" s="66"/>
      <c r="AU120" s="4"/>
      <c r="AV120" s="4"/>
      <c r="AW120" s="4"/>
      <c r="AX120" s="4"/>
      <c r="AY120" s="4"/>
      <c r="AZ120" s="4"/>
      <c r="BA120" s="4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9">
        <f t="shared" si="37"/>
        <v>1305596.2883427548</v>
      </c>
      <c r="BN120" s="9">
        <f t="shared" si="66"/>
        <v>1005988.1320878727</v>
      </c>
      <c r="BO120" s="9">
        <f t="shared" si="54"/>
        <v>297206.42662033014</v>
      </c>
      <c r="BP120" s="9">
        <f t="shared" si="55"/>
        <v>2401.7296345520072</v>
      </c>
      <c r="BQ120" s="10">
        <f t="shared" si="56"/>
        <v>0</v>
      </c>
      <c r="BR120" s="9">
        <f t="shared" si="57"/>
        <v>1305596.2883427548</v>
      </c>
      <c r="BS120" s="142">
        <f t="shared" si="67"/>
        <v>944585.57297966268</v>
      </c>
      <c r="BT120" s="83">
        <f t="shared" si="58"/>
        <v>944586</v>
      </c>
      <c r="BU120" s="175">
        <f t="shared" si="59"/>
        <v>9.2231562175214298E-4</v>
      </c>
      <c r="BV120" s="173">
        <f t="shared" si="60"/>
        <v>225959.87999999998</v>
      </c>
      <c r="BW120" s="176">
        <f t="shared" si="61"/>
        <v>1.3174199480928733E-3</v>
      </c>
      <c r="BX120" s="177">
        <f t="shared" si="62"/>
        <v>0</v>
      </c>
      <c r="BY120" s="178">
        <f t="shared" si="63"/>
        <v>0</v>
      </c>
      <c r="BZ120" s="4"/>
      <c r="CA120" s="4"/>
      <c r="CB120" s="4"/>
      <c r="CC120" s="4"/>
      <c r="CD120" s="4"/>
      <c r="CE120" s="4"/>
      <c r="CF120" s="4"/>
      <c r="CG120" s="126">
        <f t="shared" si="64"/>
        <v>728919.96270450007</v>
      </c>
      <c r="CH120" s="126">
        <f t="shared" si="65"/>
        <v>300213.7372955</v>
      </c>
      <c r="CI120" s="126"/>
      <c r="CJ120" s="126"/>
      <c r="CK120" s="9"/>
      <c r="CL120" s="9"/>
      <c r="CM120" s="127"/>
      <c r="CN120" s="9"/>
      <c r="CO120" s="9"/>
      <c r="CP120" s="9"/>
      <c r="CQ120" s="126"/>
      <c r="CR120" s="126"/>
      <c r="CS120" s="126"/>
      <c r="CT120" s="126"/>
      <c r="CU120" s="126"/>
      <c r="CV120" s="9"/>
      <c r="CW120" s="9"/>
      <c r="CX120" s="127"/>
      <c r="CY120" s="67"/>
      <c r="CZ120" s="67"/>
    </row>
    <row r="121" spans="1:104" x14ac:dyDescent="0.35">
      <c r="A121" s="143">
        <v>116</v>
      </c>
      <c r="B121" s="116" t="s">
        <v>569</v>
      </c>
      <c r="C121" s="144">
        <v>13781492.804356281</v>
      </c>
      <c r="D121" s="144">
        <v>1530440.17</v>
      </c>
      <c r="E121" s="144">
        <v>241170.73</v>
      </c>
      <c r="F121" s="145">
        <f t="shared" si="38"/>
        <v>1771610.9</v>
      </c>
      <c r="G121" s="144"/>
      <c r="H121" s="144"/>
      <c r="I121" s="145"/>
      <c r="J121" s="144">
        <v>329854.55</v>
      </c>
      <c r="K121" s="144">
        <v>46680.72</v>
      </c>
      <c r="L121" s="145">
        <f t="shared" si="39"/>
        <v>376535.27</v>
      </c>
      <c r="M121" s="146">
        <v>146607.04999999999</v>
      </c>
      <c r="N121" s="146">
        <v>51548.57</v>
      </c>
      <c r="O121" s="145">
        <f t="shared" si="40"/>
        <v>198155.62</v>
      </c>
      <c r="P121" s="144">
        <v>910318.17</v>
      </c>
      <c r="Q121" s="144">
        <v>320078.34000000003</v>
      </c>
      <c r="R121" s="147">
        <f t="shared" si="41"/>
        <v>1230396.51</v>
      </c>
      <c r="S121" s="117">
        <v>6683.74</v>
      </c>
      <c r="T121" s="117">
        <v>0</v>
      </c>
      <c r="U121" s="146">
        <v>0</v>
      </c>
      <c r="V121" s="146">
        <v>0</v>
      </c>
      <c r="W121" s="4"/>
      <c r="X121" s="4"/>
      <c r="Y121" s="4"/>
      <c r="Z121" s="4"/>
      <c r="AA121" s="4"/>
      <c r="AB121" s="4"/>
      <c r="AC121" s="4"/>
      <c r="AD121" s="4"/>
      <c r="AE121" s="4"/>
      <c r="AF121" s="118">
        <f t="shared" si="42"/>
        <v>376535.27</v>
      </c>
      <c r="AG121" s="112">
        <f t="shared" si="42"/>
        <v>146607.04999999999</v>
      </c>
      <c r="AH121" s="112">
        <f t="shared" si="42"/>
        <v>51548.57</v>
      </c>
      <c r="AI121" s="10">
        <f t="shared" si="43"/>
        <v>115228.48143524998</v>
      </c>
      <c r="AJ121" s="10">
        <f t="shared" si="44"/>
        <v>42939.136293129995</v>
      </c>
      <c r="AK121" s="10">
        <f t="shared" si="45"/>
        <v>369.16392005999995</v>
      </c>
      <c r="AL121" s="10">
        <f t="shared" si="46"/>
        <v>39618.83835156</v>
      </c>
      <c r="AM121" s="10">
        <f t="shared" si="47"/>
        <v>6683.74</v>
      </c>
      <c r="AN121" s="9">
        <f t="shared" si="48"/>
        <v>0</v>
      </c>
      <c r="AO121" s="10">
        <f t="shared" si="49"/>
        <v>0</v>
      </c>
      <c r="AP121" s="66">
        <f t="shared" si="50"/>
        <v>1158337.3844539593</v>
      </c>
      <c r="AQ121" s="66">
        <f t="shared" si="51"/>
        <v>404145.30067827221</v>
      </c>
      <c r="AR121" s="66">
        <f t="shared" si="52"/>
        <v>3765.3288883068835</v>
      </c>
      <c r="AS121" s="66">
        <f t="shared" si="53"/>
        <v>94133.222207672094</v>
      </c>
      <c r="AT121" s="66"/>
      <c r="AU121" s="4"/>
      <c r="AV121" s="4"/>
      <c r="AW121" s="4"/>
      <c r="AX121" s="4"/>
      <c r="AY121" s="4"/>
      <c r="AZ121" s="4"/>
      <c r="BA121" s="4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9">
        <f t="shared" si="37"/>
        <v>2241755.8662282107</v>
      </c>
      <c r="BN121" s="9">
        <f t="shared" si="66"/>
        <v>1724013.7449190416</v>
      </c>
      <c r="BO121" s="9">
        <f t="shared" si="54"/>
        <v>513607.62850080209</v>
      </c>
      <c r="BP121" s="9">
        <f t="shared" si="55"/>
        <v>4134.4928083668838</v>
      </c>
      <c r="BQ121" s="10">
        <f t="shared" si="56"/>
        <v>0</v>
      </c>
      <c r="BR121" s="9">
        <f t="shared" si="57"/>
        <v>2241755.8662282103</v>
      </c>
      <c r="BS121" s="142">
        <f t="shared" si="67"/>
        <v>1562482.6851322316</v>
      </c>
      <c r="BT121" s="83">
        <f t="shared" si="58"/>
        <v>1562483</v>
      </c>
      <c r="BU121" s="175">
        <f t="shared" si="59"/>
        <v>1.5256449287794909E-3</v>
      </c>
      <c r="BV121" s="173">
        <f t="shared" si="60"/>
        <v>376535.27</v>
      </c>
      <c r="BW121" s="176">
        <f t="shared" si="61"/>
        <v>2.1953236824985749E-3</v>
      </c>
      <c r="BX121" s="177">
        <f t="shared" si="62"/>
        <v>0</v>
      </c>
      <c r="BY121" s="178">
        <f t="shared" si="63"/>
        <v>0</v>
      </c>
      <c r="BZ121" s="4"/>
      <c r="CA121" s="4"/>
      <c r="CB121" s="4"/>
      <c r="CC121" s="4"/>
      <c r="CD121" s="4"/>
      <c r="CE121" s="4"/>
      <c r="CF121" s="4"/>
      <c r="CG121" s="126">
        <f t="shared" si="64"/>
        <v>1254805.4263065001</v>
      </c>
      <c r="CH121" s="126">
        <f t="shared" si="65"/>
        <v>516805.47369349998</v>
      </c>
      <c r="CI121" s="126"/>
      <c r="CJ121" s="126"/>
      <c r="CK121" s="9"/>
      <c r="CL121" s="9"/>
      <c r="CM121" s="127"/>
      <c r="CN121" s="9"/>
      <c r="CO121" s="9"/>
      <c r="CP121" s="9"/>
      <c r="CQ121" s="126"/>
      <c r="CR121" s="126"/>
      <c r="CS121" s="126"/>
      <c r="CT121" s="126"/>
      <c r="CU121" s="126"/>
      <c r="CV121" s="9"/>
      <c r="CW121" s="9"/>
      <c r="CX121" s="127"/>
      <c r="CY121" s="67"/>
      <c r="CZ121" s="67"/>
    </row>
    <row r="122" spans="1:104" x14ac:dyDescent="0.35">
      <c r="A122" s="143">
        <v>117</v>
      </c>
      <c r="B122" s="116" t="s">
        <v>570</v>
      </c>
      <c r="C122" s="144">
        <v>8685180.3189420458</v>
      </c>
      <c r="D122" s="144">
        <v>881887.4</v>
      </c>
      <c r="E122" s="144">
        <v>234592.53</v>
      </c>
      <c r="F122" s="145">
        <f t="shared" si="38"/>
        <v>1116479.93</v>
      </c>
      <c r="G122" s="144"/>
      <c r="H122" s="144"/>
      <c r="I122" s="145"/>
      <c r="J122" s="144">
        <v>191123.94</v>
      </c>
      <c r="K122" s="144">
        <v>52030.04</v>
      </c>
      <c r="L122" s="145">
        <f t="shared" si="39"/>
        <v>243153.98</v>
      </c>
      <c r="M122" s="146">
        <v>78831.210000000006</v>
      </c>
      <c r="N122" s="146">
        <v>14584.12</v>
      </c>
      <c r="O122" s="145">
        <f t="shared" si="40"/>
        <v>93415.33</v>
      </c>
      <c r="P122" s="144">
        <v>489483.13</v>
      </c>
      <c r="Q122" s="144">
        <v>90556.1</v>
      </c>
      <c r="R122" s="147">
        <f t="shared" si="41"/>
        <v>580039.23</v>
      </c>
      <c r="S122" s="117">
        <v>0</v>
      </c>
      <c r="T122" s="117">
        <v>0</v>
      </c>
      <c r="U122" s="146">
        <v>0</v>
      </c>
      <c r="V122" s="146">
        <v>0</v>
      </c>
      <c r="W122" s="4"/>
      <c r="X122" s="4"/>
      <c r="Y122" s="4"/>
      <c r="Z122" s="4"/>
      <c r="AA122" s="4"/>
      <c r="AB122" s="4"/>
      <c r="AC122" s="4"/>
      <c r="AD122" s="4"/>
      <c r="AE122" s="4"/>
      <c r="AF122" s="118">
        <f t="shared" si="42"/>
        <v>243153.98</v>
      </c>
      <c r="AG122" s="112">
        <f t="shared" si="42"/>
        <v>78831.210000000006</v>
      </c>
      <c r="AH122" s="112">
        <f t="shared" si="42"/>
        <v>14584.12</v>
      </c>
      <c r="AI122" s="10">
        <f t="shared" si="43"/>
        <v>53718.115409320002</v>
      </c>
      <c r="AJ122" s="10">
        <f t="shared" si="44"/>
        <v>20845.907581350002</v>
      </c>
      <c r="AK122" s="10">
        <f t="shared" si="45"/>
        <v>174.03275979000003</v>
      </c>
      <c r="AL122" s="10">
        <f t="shared" si="46"/>
        <v>18677.274249540002</v>
      </c>
      <c r="AM122" s="10">
        <f t="shared" si="47"/>
        <v>0</v>
      </c>
      <c r="AN122" s="9">
        <f t="shared" si="48"/>
        <v>0</v>
      </c>
      <c r="AO122" s="10">
        <f t="shared" si="49"/>
        <v>0</v>
      </c>
      <c r="AP122" s="66">
        <f t="shared" si="50"/>
        <v>755316.66233603808</v>
      </c>
      <c r="AQ122" s="66">
        <f t="shared" si="51"/>
        <v>260985.5430639339</v>
      </c>
      <c r="AR122" s="66">
        <f t="shared" si="52"/>
        <v>2431.5423266826137</v>
      </c>
      <c r="AS122" s="66">
        <f t="shared" si="53"/>
        <v>60788.558167065348</v>
      </c>
      <c r="AT122" s="66"/>
      <c r="AU122" s="4"/>
      <c r="AV122" s="4"/>
      <c r="AW122" s="4"/>
      <c r="AX122" s="4"/>
      <c r="AY122" s="4"/>
      <c r="AZ122" s="4"/>
      <c r="BA122" s="4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9">
        <f t="shared" si="37"/>
        <v>1416091.61589372</v>
      </c>
      <c r="BN122" s="9">
        <f t="shared" si="66"/>
        <v>1088697.5950588321</v>
      </c>
      <c r="BO122" s="9">
        <f t="shared" si="54"/>
        <v>324788.44574841531</v>
      </c>
      <c r="BP122" s="9">
        <f t="shared" si="55"/>
        <v>2605.5750864726137</v>
      </c>
      <c r="BQ122" s="10">
        <f t="shared" si="56"/>
        <v>0</v>
      </c>
      <c r="BR122" s="9">
        <f t="shared" si="57"/>
        <v>1416091.61589372</v>
      </c>
      <c r="BS122" s="142">
        <f t="shared" si="67"/>
        <v>1016302.2053999719</v>
      </c>
      <c r="BT122" s="83">
        <f t="shared" si="58"/>
        <v>1016302</v>
      </c>
      <c r="BU122" s="175">
        <f t="shared" si="59"/>
        <v>9.9234143234339946E-4</v>
      </c>
      <c r="BV122" s="173">
        <f t="shared" si="60"/>
        <v>243153.98</v>
      </c>
      <c r="BW122" s="176">
        <f t="shared" si="61"/>
        <v>1.4176671704294391E-3</v>
      </c>
      <c r="BX122" s="177">
        <f t="shared" si="62"/>
        <v>0</v>
      </c>
      <c r="BY122" s="178">
        <f t="shared" si="63"/>
        <v>0</v>
      </c>
      <c r="BZ122" s="4"/>
      <c r="CA122" s="4"/>
      <c r="CB122" s="4"/>
      <c r="CC122" s="4"/>
      <c r="CD122" s="4"/>
      <c r="CE122" s="4"/>
      <c r="CF122" s="4"/>
      <c r="CG122" s="126">
        <f t="shared" si="64"/>
        <v>790785.98722005007</v>
      </c>
      <c r="CH122" s="126">
        <f t="shared" si="65"/>
        <v>325693.94277994998</v>
      </c>
      <c r="CI122" s="126"/>
      <c r="CJ122" s="126"/>
      <c r="CK122" s="9"/>
      <c r="CL122" s="9"/>
      <c r="CM122" s="127"/>
      <c r="CN122" s="9"/>
      <c r="CO122" s="9"/>
      <c r="CP122" s="9"/>
      <c r="CQ122" s="126"/>
      <c r="CR122" s="126"/>
      <c r="CS122" s="126"/>
      <c r="CT122" s="126"/>
      <c r="CU122" s="126"/>
      <c r="CV122" s="9"/>
      <c r="CW122" s="9"/>
      <c r="CX122" s="127"/>
      <c r="CY122" s="67"/>
      <c r="CZ122" s="67"/>
    </row>
    <row r="123" spans="1:104" x14ac:dyDescent="0.35">
      <c r="A123" s="143">
        <v>118</v>
      </c>
      <c r="B123" s="116" t="s">
        <v>571</v>
      </c>
      <c r="C123" s="144">
        <v>20510283.391676392</v>
      </c>
      <c r="D123" s="144">
        <v>2310236.09</v>
      </c>
      <c r="E123" s="144">
        <v>326360.84000000003</v>
      </c>
      <c r="F123" s="145">
        <f t="shared" si="38"/>
        <v>2636596.9299999997</v>
      </c>
      <c r="G123" s="144"/>
      <c r="H123" s="144"/>
      <c r="I123" s="145"/>
      <c r="J123" s="144">
        <v>462111.31</v>
      </c>
      <c r="K123" s="144">
        <v>66222.95</v>
      </c>
      <c r="L123" s="145">
        <f t="shared" si="39"/>
        <v>528334.26</v>
      </c>
      <c r="M123" s="146">
        <v>413549.97</v>
      </c>
      <c r="N123" s="146">
        <v>53363.79</v>
      </c>
      <c r="O123" s="145">
        <f t="shared" si="40"/>
        <v>466913.75999999995</v>
      </c>
      <c r="P123" s="144">
        <v>2567832.87</v>
      </c>
      <c r="Q123" s="144">
        <v>331348.01</v>
      </c>
      <c r="R123" s="147">
        <f t="shared" si="41"/>
        <v>2899180.88</v>
      </c>
      <c r="S123" s="117">
        <v>0</v>
      </c>
      <c r="T123" s="117">
        <v>0</v>
      </c>
      <c r="U123" s="146">
        <v>0</v>
      </c>
      <c r="V123" s="146">
        <v>0</v>
      </c>
      <c r="W123" s="4"/>
      <c r="X123" s="4"/>
      <c r="Y123" s="4"/>
      <c r="Z123" s="4"/>
      <c r="AA123" s="4"/>
      <c r="AB123" s="4"/>
      <c r="AC123" s="4"/>
      <c r="AD123" s="4"/>
      <c r="AE123" s="4"/>
      <c r="AF123" s="118">
        <f t="shared" si="42"/>
        <v>528334.26</v>
      </c>
      <c r="AG123" s="112">
        <f t="shared" si="42"/>
        <v>413549.97</v>
      </c>
      <c r="AH123" s="112">
        <f t="shared" si="42"/>
        <v>53363.79</v>
      </c>
      <c r="AI123" s="10">
        <f t="shared" si="43"/>
        <v>267284.14585598995</v>
      </c>
      <c r="AJ123" s="10">
        <f t="shared" si="44"/>
        <v>105405.95046224998</v>
      </c>
      <c r="AK123" s="10">
        <f t="shared" si="45"/>
        <v>869.86033487999998</v>
      </c>
      <c r="AL123" s="10">
        <f t="shared" si="46"/>
        <v>93353.803346879999</v>
      </c>
      <c r="AM123" s="10">
        <f t="shared" si="47"/>
        <v>0</v>
      </c>
      <c r="AN123" s="9">
        <f t="shared" si="48"/>
        <v>0</v>
      </c>
      <c r="AO123" s="10">
        <f t="shared" si="49"/>
        <v>0</v>
      </c>
      <c r="AP123" s="66">
        <f t="shared" si="50"/>
        <v>1625565.2557857239</v>
      </c>
      <c r="AQ123" s="66">
        <f t="shared" si="51"/>
        <v>567077.50087597978</v>
      </c>
      <c r="AR123" s="66">
        <f t="shared" si="52"/>
        <v>5283.3307535029171</v>
      </c>
      <c r="AS123" s="66">
        <f t="shared" si="53"/>
        <v>132083.26883757292</v>
      </c>
      <c r="AT123" s="66"/>
      <c r="AU123" s="4"/>
      <c r="AV123" s="4"/>
      <c r="AW123" s="4"/>
      <c r="AX123" s="4"/>
      <c r="AY123" s="4"/>
      <c r="AZ123" s="4"/>
      <c r="BA123" s="4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9">
        <f t="shared" si="37"/>
        <v>3325257.3762527797</v>
      </c>
      <c r="BN123" s="9">
        <f t="shared" si="66"/>
        <v>2553280.7058645738</v>
      </c>
      <c r="BO123" s="9">
        <f t="shared" si="54"/>
        <v>765823.47929982294</v>
      </c>
      <c r="BP123" s="9">
        <f t="shared" si="55"/>
        <v>6153.1910883829169</v>
      </c>
      <c r="BQ123" s="10">
        <f t="shared" si="56"/>
        <v>0</v>
      </c>
      <c r="BR123" s="9">
        <f t="shared" si="57"/>
        <v>3325257.3762527797</v>
      </c>
      <c r="BS123" s="142">
        <f t="shared" si="67"/>
        <v>2192642.7566617038</v>
      </c>
      <c r="BT123" s="83">
        <f t="shared" si="58"/>
        <v>2192643</v>
      </c>
      <c r="BU123" s="175">
        <f t="shared" si="59"/>
        <v>2.1409480784376888E-3</v>
      </c>
      <c r="BV123" s="173">
        <f t="shared" si="60"/>
        <v>528334.26</v>
      </c>
      <c r="BW123" s="176">
        <f t="shared" si="61"/>
        <v>3.0803614047984389E-3</v>
      </c>
      <c r="BX123" s="177">
        <f t="shared" si="62"/>
        <v>0</v>
      </c>
      <c r="BY123" s="178">
        <f t="shared" si="63"/>
        <v>0</v>
      </c>
      <c r="BZ123" s="4"/>
      <c r="CA123" s="4"/>
      <c r="CB123" s="4"/>
      <c r="CC123" s="4"/>
      <c r="CD123" s="4"/>
      <c r="CE123" s="4"/>
      <c r="CF123" s="4"/>
      <c r="CG123" s="126">
        <f t="shared" si="64"/>
        <v>1867462.05656505</v>
      </c>
      <c r="CH123" s="126">
        <f t="shared" si="65"/>
        <v>769134.87343495002</v>
      </c>
      <c r="CI123" s="126"/>
      <c r="CJ123" s="126"/>
      <c r="CK123" s="9"/>
      <c r="CL123" s="9"/>
      <c r="CM123" s="127"/>
      <c r="CN123" s="9"/>
      <c r="CO123" s="9"/>
      <c r="CP123" s="9"/>
      <c r="CQ123" s="126"/>
      <c r="CR123" s="126"/>
      <c r="CS123" s="126"/>
      <c r="CT123" s="126"/>
      <c r="CU123" s="126"/>
      <c r="CV123" s="9"/>
      <c r="CW123" s="9"/>
      <c r="CX123" s="127"/>
      <c r="CY123" s="67"/>
      <c r="CZ123" s="67"/>
    </row>
    <row r="124" spans="1:104" x14ac:dyDescent="0.35">
      <c r="A124" s="143">
        <v>119</v>
      </c>
      <c r="B124" s="116" t="s">
        <v>572</v>
      </c>
      <c r="C124" s="144">
        <v>7041177.4406845588</v>
      </c>
      <c r="D124" s="144">
        <v>788806.48</v>
      </c>
      <c r="E124" s="144">
        <v>116336.88</v>
      </c>
      <c r="F124" s="145">
        <f t="shared" si="38"/>
        <v>905143.36</v>
      </c>
      <c r="G124" s="144"/>
      <c r="H124" s="144"/>
      <c r="I124" s="145"/>
      <c r="J124" s="144">
        <v>164460.60999999999</v>
      </c>
      <c r="K124" s="144">
        <v>25697.37</v>
      </c>
      <c r="L124" s="145">
        <f t="shared" si="39"/>
        <v>190157.97999999998</v>
      </c>
      <c r="M124" s="146">
        <v>105366.6</v>
      </c>
      <c r="N124" s="146">
        <v>7798.6</v>
      </c>
      <c r="O124" s="145">
        <f t="shared" si="40"/>
        <v>113165.20000000001</v>
      </c>
      <c r="P124" s="144">
        <v>654246.03</v>
      </c>
      <c r="Q124" s="144">
        <v>48423.48</v>
      </c>
      <c r="R124" s="147">
        <f t="shared" si="41"/>
        <v>702669.51</v>
      </c>
      <c r="S124" s="117">
        <v>2613.1</v>
      </c>
      <c r="T124" s="117">
        <v>0</v>
      </c>
      <c r="U124" s="146">
        <v>0</v>
      </c>
      <c r="V124" s="146">
        <v>0</v>
      </c>
      <c r="W124" s="4"/>
      <c r="X124" s="4"/>
      <c r="Y124" s="4"/>
      <c r="Z124" s="4"/>
      <c r="AA124" s="4"/>
      <c r="AB124" s="4"/>
      <c r="AC124" s="4"/>
      <c r="AD124" s="4"/>
      <c r="AE124" s="4"/>
      <c r="AF124" s="118">
        <f t="shared" si="42"/>
        <v>190157.97999999998</v>
      </c>
      <c r="AG124" s="112">
        <f t="shared" si="42"/>
        <v>105366.6</v>
      </c>
      <c r="AH124" s="112">
        <f t="shared" si="42"/>
        <v>7798.6</v>
      </c>
      <c r="AI124" s="10">
        <f t="shared" si="43"/>
        <v>64462.410620200004</v>
      </c>
      <c r="AJ124" s="10">
        <f t="shared" si="44"/>
        <v>25865.938854600001</v>
      </c>
      <c r="AK124" s="10">
        <f t="shared" si="45"/>
        <v>210.82676760000001</v>
      </c>
      <c r="AL124" s="10">
        <f t="shared" si="46"/>
        <v>22626.023757600004</v>
      </c>
      <c r="AM124" s="10">
        <f t="shared" si="47"/>
        <v>2613.1</v>
      </c>
      <c r="AN124" s="9">
        <f t="shared" si="48"/>
        <v>0</v>
      </c>
      <c r="AO124" s="10">
        <f t="shared" si="49"/>
        <v>0</v>
      </c>
      <c r="AP124" s="66">
        <f t="shared" si="50"/>
        <v>585686.84461088281</v>
      </c>
      <c r="AQ124" s="66">
        <f t="shared" si="51"/>
        <v>204099.95536804281</v>
      </c>
      <c r="AR124" s="66">
        <f t="shared" si="52"/>
        <v>1901.5523792053673</v>
      </c>
      <c r="AS124" s="66">
        <f t="shared" si="53"/>
        <v>47538.809480134187</v>
      </c>
      <c r="AT124" s="66"/>
      <c r="AU124" s="4"/>
      <c r="AV124" s="4"/>
      <c r="AW124" s="4"/>
      <c r="AX124" s="4"/>
      <c r="AY124" s="4"/>
      <c r="AZ124" s="4"/>
      <c r="BA124" s="4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9">
        <f t="shared" si="37"/>
        <v>1145163.4418382652</v>
      </c>
      <c r="BN124" s="9">
        <f t="shared" si="66"/>
        <v>879488.33435672557</v>
      </c>
      <c r="BO124" s="9">
        <f t="shared" si="54"/>
        <v>263562.72833473416</v>
      </c>
      <c r="BP124" s="9">
        <f t="shared" si="55"/>
        <v>2112.3791468053673</v>
      </c>
      <c r="BQ124" s="10">
        <f t="shared" si="56"/>
        <v>0</v>
      </c>
      <c r="BR124" s="9">
        <f t="shared" si="57"/>
        <v>1145163.4418382649</v>
      </c>
      <c r="BS124" s="142">
        <f t="shared" si="67"/>
        <v>789786.79997892561</v>
      </c>
      <c r="BT124" s="83">
        <f t="shared" si="58"/>
        <v>789787</v>
      </c>
      <c r="BU124" s="175">
        <f t="shared" si="59"/>
        <v>7.7116645046396615E-4</v>
      </c>
      <c r="BV124" s="173">
        <f t="shared" si="60"/>
        <v>190157.97999999998</v>
      </c>
      <c r="BW124" s="176">
        <f t="shared" si="61"/>
        <v>1.108683170397531E-3</v>
      </c>
      <c r="BX124" s="177">
        <f t="shared" si="62"/>
        <v>0</v>
      </c>
      <c r="BY124" s="178">
        <f t="shared" si="63"/>
        <v>0</v>
      </c>
      <c r="BZ124" s="4"/>
      <c r="CA124" s="4"/>
      <c r="CB124" s="4"/>
      <c r="CC124" s="4"/>
      <c r="CD124" s="4"/>
      <c r="CE124" s="4"/>
      <c r="CF124" s="4"/>
      <c r="CG124" s="126">
        <f t="shared" si="64"/>
        <v>641099.46473760006</v>
      </c>
      <c r="CH124" s="126">
        <f t="shared" si="65"/>
        <v>264043.89526239998</v>
      </c>
      <c r="CI124" s="126"/>
      <c r="CJ124" s="126"/>
      <c r="CK124" s="9"/>
      <c r="CL124" s="9"/>
      <c r="CM124" s="127"/>
      <c r="CN124" s="9"/>
      <c r="CO124" s="9"/>
      <c r="CP124" s="9"/>
      <c r="CQ124" s="126"/>
      <c r="CR124" s="126"/>
      <c r="CS124" s="126"/>
      <c r="CT124" s="126"/>
      <c r="CU124" s="126"/>
      <c r="CV124" s="9"/>
      <c r="CW124" s="9"/>
      <c r="CX124" s="127"/>
      <c r="CY124" s="67"/>
      <c r="CZ124" s="67"/>
    </row>
    <row r="125" spans="1:104" x14ac:dyDescent="0.35">
      <c r="A125" s="143">
        <v>120</v>
      </c>
      <c r="B125" s="116" t="s">
        <v>573</v>
      </c>
      <c r="C125" s="144">
        <v>17145261.688059121</v>
      </c>
      <c r="D125" s="144">
        <v>1512398.2</v>
      </c>
      <c r="E125" s="144">
        <v>691625.19</v>
      </c>
      <c r="F125" s="145">
        <f t="shared" si="38"/>
        <v>2204023.3899999997</v>
      </c>
      <c r="G125" s="144"/>
      <c r="H125" s="144"/>
      <c r="I125" s="145"/>
      <c r="J125" s="144">
        <v>325769.62</v>
      </c>
      <c r="K125" s="144">
        <v>152528.93</v>
      </c>
      <c r="L125" s="145">
        <f t="shared" si="39"/>
        <v>478298.55</v>
      </c>
      <c r="M125" s="146">
        <v>145931.5</v>
      </c>
      <c r="N125" s="146">
        <v>47660.52</v>
      </c>
      <c r="O125" s="145">
        <f t="shared" si="40"/>
        <v>193592.02</v>
      </c>
      <c r="P125" s="144">
        <v>906126.28</v>
      </c>
      <c r="Q125" s="144">
        <v>295935.09999999998</v>
      </c>
      <c r="R125" s="147">
        <f t="shared" si="41"/>
        <v>1202061.3799999999</v>
      </c>
      <c r="S125" s="117">
        <v>0</v>
      </c>
      <c r="T125" s="117">
        <v>0</v>
      </c>
      <c r="U125" s="146">
        <v>0</v>
      </c>
      <c r="V125" s="146">
        <v>0</v>
      </c>
      <c r="W125" s="4"/>
      <c r="X125" s="4"/>
      <c r="Y125" s="4"/>
      <c r="Z125" s="4"/>
      <c r="AA125" s="4"/>
      <c r="AB125" s="4"/>
      <c r="AC125" s="4"/>
      <c r="AD125" s="4"/>
      <c r="AE125" s="4"/>
      <c r="AF125" s="118">
        <f t="shared" si="42"/>
        <v>478298.55</v>
      </c>
      <c r="AG125" s="112">
        <f t="shared" si="42"/>
        <v>145931.5</v>
      </c>
      <c r="AH125" s="112">
        <f t="shared" si="42"/>
        <v>47660.52</v>
      </c>
      <c r="AI125" s="10">
        <f t="shared" si="43"/>
        <v>112407.02035939999</v>
      </c>
      <c r="AJ125" s="10">
        <f t="shared" si="44"/>
        <v>42117.936412579998</v>
      </c>
      <c r="AK125" s="10">
        <f t="shared" si="45"/>
        <v>360.66193326000001</v>
      </c>
      <c r="AL125" s="10">
        <f t="shared" si="46"/>
        <v>38706.401294759999</v>
      </c>
      <c r="AM125" s="10">
        <f t="shared" si="47"/>
        <v>0</v>
      </c>
      <c r="AN125" s="9">
        <f t="shared" si="48"/>
        <v>0</v>
      </c>
      <c r="AO125" s="10">
        <f t="shared" si="49"/>
        <v>0</v>
      </c>
      <c r="AP125" s="66">
        <f t="shared" si="50"/>
        <v>1502471.0743883396</v>
      </c>
      <c r="AQ125" s="66">
        <f t="shared" si="51"/>
        <v>513371.04991950374</v>
      </c>
      <c r="AR125" s="66">
        <f t="shared" si="52"/>
        <v>4782.9600924177357</v>
      </c>
      <c r="AS125" s="66">
        <f t="shared" si="53"/>
        <v>119574.00231044341</v>
      </c>
      <c r="AT125" s="66"/>
      <c r="AU125" s="4"/>
      <c r="AV125" s="4"/>
      <c r="AW125" s="4"/>
      <c r="AX125" s="4"/>
      <c r="AY125" s="4"/>
      <c r="AZ125" s="4"/>
      <c r="BA125" s="4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9">
        <f t="shared" si="37"/>
        <v>2812089.6567107043</v>
      </c>
      <c r="BN125" s="9">
        <f t="shared" si="66"/>
        <v>2166955.5459620031</v>
      </c>
      <c r="BO125" s="9">
        <f t="shared" si="54"/>
        <v>639990.48872302345</v>
      </c>
      <c r="BP125" s="9">
        <f t="shared" si="55"/>
        <v>5143.622025677736</v>
      </c>
      <c r="BQ125" s="10">
        <f t="shared" si="56"/>
        <v>0</v>
      </c>
      <c r="BR125" s="9">
        <f t="shared" si="57"/>
        <v>2812089.6567107043</v>
      </c>
      <c r="BS125" s="142">
        <f t="shared" si="67"/>
        <v>2015842.1243078434</v>
      </c>
      <c r="BT125" s="83">
        <f t="shared" si="58"/>
        <v>2015842</v>
      </c>
      <c r="BU125" s="175">
        <f t="shared" si="59"/>
        <v>1.9683157729905106E-3</v>
      </c>
      <c r="BV125" s="173">
        <f t="shared" si="60"/>
        <v>478298.55</v>
      </c>
      <c r="BW125" s="176">
        <f t="shared" si="61"/>
        <v>2.7886368629417603E-3</v>
      </c>
      <c r="BX125" s="177">
        <f t="shared" si="62"/>
        <v>0</v>
      </c>
      <c r="BY125" s="178">
        <f t="shared" si="63"/>
        <v>0</v>
      </c>
      <c r="BZ125" s="4"/>
      <c r="CA125" s="4"/>
      <c r="CB125" s="4"/>
      <c r="CC125" s="4"/>
      <c r="CD125" s="4"/>
      <c r="CE125" s="4"/>
      <c r="CF125" s="4"/>
      <c r="CG125" s="126">
        <f t="shared" si="64"/>
        <v>1561076.7067861501</v>
      </c>
      <c r="CH125" s="126">
        <f t="shared" si="65"/>
        <v>642946.68321385002</v>
      </c>
      <c r="CI125" s="126"/>
      <c r="CJ125" s="126"/>
      <c r="CK125" s="9"/>
      <c r="CL125" s="9"/>
      <c r="CM125" s="127"/>
      <c r="CN125" s="9"/>
      <c r="CO125" s="9"/>
      <c r="CP125" s="9"/>
      <c r="CQ125" s="126"/>
      <c r="CR125" s="126"/>
      <c r="CS125" s="126"/>
      <c r="CT125" s="126"/>
      <c r="CU125" s="126"/>
      <c r="CV125" s="9"/>
      <c r="CW125" s="9"/>
      <c r="CX125" s="127"/>
      <c r="CY125" s="67"/>
      <c r="CZ125" s="67"/>
    </row>
    <row r="126" spans="1:104" x14ac:dyDescent="0.35">
      <c r="A126" s="143">
        <v>122</v>
      </c>
      <c r="B126" s="116" t="s">
        <v>574</v>
      </c>
      <c r="C126" s="144">
        <v>3199804.27849086</v>
      </c>
      <c r="D126" s="144">
        <v>338146.24</v>
      </c>
      <c r="E126" s="144">
        <v>73188.600000000006</v>
      </c>
      <c r="F126" s="145">
        <f t="shared" si="38"/>
        <v>411334.83999999997</v>
      </c>
      <c r="G126" s="144"/>
      <c r="H126" s="144"/>
      <c r="I126" s="145"/>
      <c r="J126" s="144">
        <v>78914.06</v>
      </c>
      <c r="K126" s="144">
        <v>17080.43</v>
      </c>
      <c r="L126" s="145">
        <f t="shared" si="39"/>
        <v>95994.489999999991</v>
      </c>
      <c r="M126" s="146">
        <v>0</v>
      </c>
      <c r="N126" s="146">
        <v>0</v>
      </c>
      <c r="O126" s="145">
        <f t="shared" si="40"/>
        <v>0</v>
      </c>
      <c r="P126" s="144">
        <v>0</v>
      </c>
      <c r="Q126" s="144">
        <v>0</v>
      </c>
      <c r="R126" s="147">
        <f t="shared" si="41"/>
        <v>0</v>
      </c>
      <c r="S126" s="117">
        <v>0</v>
      </c>
      <c r="T126" s="117">
        <v>0</v>
      </c>
      <c r="U126" s="146">
        <v>0</v>
      </c>
      <c r="V126" s="146">
        <v>0</v>
      </c>
      <c r="W126" s="4"/>
      <c r="X126" s="4"/>
      <c r="Y126" s="4"/>
      <c r="Z126" s="4"/>
      <c r="AA126" s="4"/>
      <c r="AB126" s="4"/>
      <c r="AC126" s="4"/>
      <c r="AD126" s="4"/>
      <c r="AE126" s="4"/>
      <c r="AF126" s="118">
        <f t="shared" si="42"/>
        <v>95994.489999999991</v>
      </c>
      <c r="AG126" s="112">
        <f t="shared" si="42"/>
        <v>0</v>
      </c>
      <c r="AH126" s="112">
        <f t="shared" si="42"/>
        <v>0</v>
      </c>
      <c r="AI126" s="10">
        <f t="shared" si="43"/>
        <v>0</v>
      </c>
      <c r="AJ126" s="10">
        <f t="shared" si="44"/>
        <v>0</v>
      </c>
      <c r="AK126" s="10">
        <f t="shared" si="45"/>
        <v>0</v>
      </c>
      <c r="AL126" s="10">
        <f t="shared" si="46"/>
        <v>0</v>
      </c>
      <c r="AM126" s="10">
        <f t="shared" si="47"/>
        <v>0</v>
      </c>
      <c r="AN126" s="9">
        <f t="shared" si="48"/>
        <v>0</v>
      </c>
      <c r="AO126" s="10">
        <f t="shared" si="49"/>
        <v>0</v>
      </c>
      <c r="AP126" s="66">
        <f t="shared" si="50"/>
        <v>297035.57512252044</v>
      </c>
      <c r="AQ126" s="66">
        <f t="shared" si="51"/>
        <v>103033.69776740568</v>
      </c>
      <c r="AR126" s="66">
        <f t="shared" si="52"/>
        <v>959.94128354725785</v>
      </c>
      <c r="AS126" s="66">
        <f t="shared" si="53"/>
        <v>23998.532088681448</v>
      </c>
      <c r="AT126" s="66"/>
      <c r="AU126" s="4"/>
      <c r="AV126" s="4"/>
      <c r="AW126" s="4"/>
      <c r="AX126" s="4"/>
      <c r="AY126" s="4"/>
      <c r="AZ126" s="4"/>
      <c r="BA126" s="4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9">
        <f t="shared" si="37"/>
        <v>521022.23626215482</v>
      </c>
      <c r="BN126" s="9">
        <f t="shared" si="66"/>
        <v>400069.2728899261</v>
      </c>
      <c r="BO126" s="9">
        <f t="shared" si="54"/>
        <v>119993.02208868143</v>
      </c>
      <c r="BP126" s="9">
        <f t="shared" si="55"/>
        <v>959.94128354725785</v>
      </c>
      <c r="BQ126" s="10">
        <f t="shared" si="56"/>
        <v>0</v>
      </c>
      <c r="BR126" s="9">
        <f t="shared" si="57"/>
        <v>521022.23626215482</v>
      </c>
      <c r="BS126" s="142">
        <f t="shared" si="67"/>
        <v>400069.2728899261</v>
      </c>
      <c r="BT126" s="83">
        <f t="shared" si="58"/>
        <v>400069</v>
      </c>
      <c r="BU126" s="175">
        <f t="shared" si="59"/>
        <v>3.9063706955149997E-4</v>
      </c>
      <c r="BV126" s="173">
        <f t="shared" si="60"/>
        <v>95994.489999999991</v>
      </c>
      <c r="BW126" s="176">
        <f t="shared" si="61"/>
        <v>5.5967924940038846E-4</v>
      </c>
      <c r="BX126" s="177">
        <f t="shared" si="62"/>
        <v>0</v>
      </c>
      <c r="BY126" s="178">
        <f t="shared" si="63"/>
        <v>0</v>
      </c>
      <c r="BZ126" s="4"/>
      <c r="CA126" s="4"/>
      <c r="CB126" s="4"/>
      <c r="CC126" s="4"/>
      <c r="CD126" s="4"/>
      <c r="CE126" s="4"/>
      <c r="CF126" s="4"/>
      <c r="CG126" s="126">
        <f t="shared" si="64"/>
        <v>291342.29714939999</v>
      </c>
      <c r="CH126" s="126">
        <f t="shared" si="65"/>
        <v>119992.5428506</v>
      </c>
      <c r="CI126" s="126"/>
      <c r="CJ126" s="126"/>
      <c r="CK126" s="9"/>
      <c r="CL126" s="9"/>
      <c r="CM126" s="127"/>
      <c r="CN126" s="9"/>
      <c r="CO126" s="9"/>
      <c r="CP126" s="9"/>
      <c r="CQ126" s="126"/>
      <c r="CR126" s="126"/>
      <c r="CS126" s="126"/>
      <c r="CT126" s="126"/>
      <c r="CU126" s="126"/>
      <c r="CV126" s="9"/>
      <c r="CW126" s="9"/>
      <c r="CX126" s="127"/>
      <c r="CY126" s="67"/>
      <c r="CZ126" s="67"/>
    </row>
    <row r="127" spans="1:104" x14ac:dyDescent="0.35">
      <c r="A127" s="143">
        <v>124</v>
      </c>
      <c r="B127" s="116" t="s">
        <v>575</v>
      </c>
      <c r="C127" s="144">
        <v>14525460.05445352</v>
      </c>
      <c r="D127" s="144">
        <v>1388122.43</v>
      </c>
      <c r="E127" s="144">
        <v>479125.46</v>
      </c>
      <c r="F127" s="145">
        <f t="shared" si="38"/>
        <v>1867247.89</v>
      </c>
      <c r="G127" s="144"/>
      <c r="H127" s="144"/>
      <c r="I127" s="145"/>
      <c r="J127" s="144">
        <v>297315.31</v>
      </c>
      <c r="K127" s="144">
        <v>94932.77</v>
      </c>
      <c r="L127" s="145">
        <f t="shared" si="39"/>
        <v>392248.08</v>
      </c>
      <c r="M127" s="146">
        <v>142983.97</v>
      </c>
      <c r="N127" s="146">
        <v>90636.29</v>
      </c>
      <c r="O127" s="145">
        <f t="shared" si="40"/>
        <v>233620.26</v>
      </c>
      <c r="P127" s="144">
        <v>887823.59</v>
      </c>
      <c r="Q127" s="144">
        <v>562780.28</v>
      </c>
      <c r="R127" s="147">
        <f t="shared" si="41"/>
        <v>1450603.87</v>
      </c>
      <c r="S127" s="117">
        <v>6924.38</v>
      </c>
      <c r="T127" s="117">
        <v>0</v>
      </c>
      <c r="U127" s="146">
        <v>0</v>
      </c>
      <c r="V127" s="146">
        <v>0</v>
      </c>
      <c r="W127" s="4"/>
      <c r="X127" s="4"/>
      <c r="Y127" s="4"/>
      <c r="Z127" s="4"/>
      <c r="AA127" s="4"/>
      <c r="AB127" s="4"/>
      <c r="AC127" s="4"/>
      <c r="AD127" s="4"/>
      <c r="AE127" s="4"/>
      <c r="AF127" s="118">
        <f t="shared" si="42"/>
        <v>392248.08</v>
      </c>
      <c r="AG127" s="112">
        <f t="shared" si="42"/>
        <v>142983.97</v>
      </c>
      <c r="AH127" s="112">
        <f t="shared" si="42"/>
        <v>90636.29</v>
      </c>
      <c r="AI127" s="10">
        <f t="shared" si="43"/>
        <v>137705.56038648999</v>
      </c>
      <c r="AJ127" s="10">
        <f t="shared" si="44"/>
        <v>48769.897525250002</v>
      </c>
      <c r="AK127" s="10">
        <f t="shared" si="45"/>
        <v>435.23454437999999</v>
      </c>
      <c r="AL127" s="10">
        <f t="shared" si="46"/>
        <v>46709.567543879995</v>
      </c>
      <c r="AM127" s="10">
        <f t="shared" si="47"/>
        <v>6924.38</v>
      </c>
      <c r="AN127" s="9">
        <f t="shared" si="48"/>
        <v>0</v>
      </c>
      <c r="AO127" s="10">
        <f t="shared" si="49"/>
        <v>0</v>
      </c>
      <c r="AP127" s="66">
        <f t="shared" si="50"/>
        <v>1222109.3782709613</v>
      </c>
      <c r="AQ127" s="66">
        <f t="shared" si="51"/>
        <v>421010.36913940334</v>
      </c>
      <c r="AR127" s="66">
        <f t="shared" si="52"/>
        <v>3922.4568553360559</v>
      </c>
      <c r="AS127" s="66">
        <f t="shared" si="53"/>
        <v>98061.421383401408</v>
      </c>
      <c r="AT127" s="66"/>
      <c r="AU127" s="4"/>
      <c r="AV127" s="4"/>
      <c r="AW127" s="4"/>
      <c r="AX127" s="4"/>
      <c r="AY127" s="4"/>
      <c r="AZ127" s="4"/>
      <c r="BA127" s="4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9">
        <f t="shared" si="37"/>
        <v>2377896.3456491018</v>
      </c>
      <c r="BN127" s="9">
        <f t="shared" si="66"/>
        <v>1834459.2553407347</v>
      </c>
      <c r="BO127" s="9">
        <f t="shared" si="54"/>
        <v>539079.39890865143</v>
      </c>
      <c r="BP127" s="9">
        <f t="shared" si="55"/>
        <v>4357.6913997160555</v>
      </c>
      <c r="BQ127" s="10">
        <f t="shared" si="56"/>
        <v>0</v>
      </c>
      <c r="BR127" s="9">
        <f t="shared" si="57"/>
        <v>2377896.3456491018</v>
      </c>
      <c r="BS127" s="142">
        <f t="shared" si="67"/>
        <v>1643119.7474103647</v>
      </c>
      <c r="BT127" s="83">
        <f t="shared" si="58"/>
        <v>1643120</v>
      </c>
      <c r="BU127" s="175">
        <f t="shared" si="59"/>
        <v>1.604380857380132E-3</v>
      </c>
      <c r="BV127" s="173">
        <f t="shared" si="60"/>
        <v>392248.08</v>
      </c>
      <c r="BW127" s="176">
        <f t="shared" si="61"/>
        <v>2.2869345000233196E-3</v>
      </c>
      <c r="BX127" s="177">
        <f t="shared" si="62"/>
        <v>0</v>
      </c>
      <c r="BY127" s="178">
        <f t="shared" si="63"/>
        <v>0</v>
      </c>
      <c r="BZ127" s="4"/>
      <c r="CA127" s="4"/>
      <c r="CB127" s="4"/>
      <c r="CC127" s="4"/>
      <c r="CD127" s="4"/>
      <c r="CE127" s="4"/>
      <c r="CF127" s="4"/>
      <c r="CG127" s="126">
        <f t="shared" si="64"/>
        <v>1322543.6717686502</v>
      </c>
      <c r="CH127" s="126">
        <f t="shared" si="65"/>
        <v>544704.21823134995</v>
      </c>
      <c r="CI127" s="126"/>
      <c r="CJ127" s="126"/>
      <c r="CK127" s="9"/>
      <c r="CL127" s="9"/>
      <c r="CM127" s="127"/>
      <c r="CN127" s="9"/>
      <c r="CO127" s="9"/>
      <c r="CP127" s="9"/>
      <c r="CQ127" s="126"/>
      <c r="CR127" s="126"/>
      <c r="CS127" s="126"/>
      <c r="CT127" s="126"/>
      <c r="CU127" s="126"/>
      <c r="CV127" s="9"/>
      <c r="CW127" s="9"/>
      <c r="CX127" s="127"/>
      <c r="CY127" s="67"/>
      <c r="CZ127" s="67"/>
    </row>
    <row r="128" spans="1:104" x14ac:dyDescent="0.35">
      <c r="A128" s="143">
        <v>125</v>
      </c>
      <c r="B128" s="116" t="s">
        <v>576</v>
      </c>
      <c r="C128" s="144">
        <v>1410297.3162193699</v>
      </c>
      <c r="D128" s="144">
        <v>135740.22</v>
      </c>
      <c r="E128" s="144">
        <v>45553.5</v>
      </c>
      <c r="F128" s="145">
        <f t="shared" si="38"/>
        <v>181293.72</v>
      </c>
      <c r="G128" s="144"/>
      <c r="H128" s="144"/>
      <c r="I128" s="145"/>
      <c r="J128" s="144">
        <v>27455.279999999999</v>
      </c>
      <c r="K128" s="144">
        <v>10630.55</v>
      </c>
      <c r="L128" s="145">
        <f t="shared" si="39"/>
        <v>38085.83</v>
      </c>
      <c r="M128" s="146">
        <v>22672.36</v>
      </c>
      <c r="N128" s="146">
        <v>0</v>
      </c>
      <c r="O128" s="145">
        <f t="shared" si="40"/>
        <v>22672.36</v>
      </c>
      <c r="P128" s="144">
        <v>140779.32999999999</v>
      </c>
      <c r="Q128" s="144">
        <v>0</v>
      </c>
      <c r="R128" s="147">
        <f t="shared" si="41"/>
        <v>140779.32999999999</v>
      </c>
      <c r="S128" s="117">
        <v>0</v>
      </c>
      <c r="T128" s="117">
        <v>0</v>
      </c>
      <c r="U128" s="146">
        <v>0</v>
      </c>
      <c r="V128" s="146">
        <v>0</v>
      </c>
      <c r="W128" s="4"/>
      <c r="X128" s="4"/>
      <c r="Y128" s="4"/>
      <c r="Z128" s="4"/>
      <c r="AA128" s="4"/>
      <c r="AB128" s="4"/>
      <c r="AC128" s="4"/>
      <c r="AD128" s="4"/>
      <c r="AE128" s="4"/>
      <c r="AF128" s="118">
        <f t="shared" si="42"/>
        <v>38085.83</v>
      </c>
      <c r="AG128" s="112">
        <f t="shared" si="42"/>
        <v>22672.36</v>
      </c>
      <c r="AH128" s="112">
        <f t="shared" si="42"/>
        <v>0</v>
      </c>
      <c r="AI128" s="10">
        <f t="shared" si="43"/>
        <v>12817.864070719999</v>
      </c>
      <c r="AJ128" s="10">
        <f t="shared" si="44"/>
        <v>5279.1910089200001</v>
      </c>
      <c r="AK128" s="10">
        <f t="shared" si="45"/>
        <v>42.238606680000004</v>
      </c>
      <c r="AL128" s="10">
        <f t="shared" si="46"/>
        <v>4533.0663136800003</v>
      </c>
      <c r="AM128" s="10">
        <f t="shared" si="47"/>
        <v>0</v>
      </c>
      <c r="AN128" s="9">
        <f t="shared" si="48"/>
        <v>0</v>
      </c>
      <c r="AO128" s="10">
        <f t="shared" si="49"/>
        <v>0</v>
      </c>
      <c r="AP128" s="66">
        <f t="shared" si="50"/>
        <v>119133.25325204144</v>
      </c>
      <c r="AQ128" s="66">
        <f t="shared" si="51"/>
        <v>40878.479156263711</v>
      </c>
      <c r="AR128" s="66">
        <f t="shared" si="52"/>
        <v>380.85539586581098</v>
      </c>
      <c r="AS128" s="66">
        <f t="shared" si="53"/>
        <v>9521.3848966452751</v>
      </c>
      <c r="AT128" s="66"/>
      <c r="AU128" s="4"/>
      <c r="AV128" s="4"/>
      <c r="AW128" s="4"/>
      <c r="AX128" s="4"/>
      <c r="AY128" s="4"/>
      <c r="AZ128" s="4"/>
      <c r="BA128" s="4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9">
        <f t="shared" si="37"/>
        <v>230672.16270081623</v>
      </c>
      <c r="BN128" s="9">
        <f t="shared" si="66"/>
        <v>177362.66279270517</v>
      </c>
      <c r="BO128" s="9">
        <f t="shared" si="54"/>
        <v>52886.405905565276</v>
      </c>
      <c r="BP128" s="9">
        <f t="shared" si="55"/>
        <v>423.09400254581101</v>
      </c>
      <c r="BQ128" s="10">
        <f t="shared" si="56"/>
        <v>0</v>
      </c>
      <c r="BR128" s="9">
        <f t="shared" si="57"/>
        <v>230672.16270081626</v>
      </c>
      <c r="BS128" s="142">
        <f t="shared" si="67"/>
        <v>160011.73240830516</v>
      </c>
      <c r="BT128" s="83">
        <f t="shared" si="58"/>
        <v>160012</v>
      </c>
      <c r="BU128" s="175">
        <f t="shared" si="59"/>
        <v>1.5623922774753304E-4</v>
      </c>
      <c r="BV128" s="173">
        <f t="shared" si="60"/>
        <v>38085.83</v>
      </c>
      <c r="BW128" s="176">
        <f t="shared" si="61"/>
        <v>2.2205283602413846E-4</v>
      </c>
      <c r="BX128" s="177">
        <f t="shared" si="62"/>
        <v>0</v>
      </c>
      <c r="BY128" s="178">
        <f t="shared" si="63"/>
        <v>0</v>
      </c>
      <c r="BZ128" s="4"/>
      <c r="CA128" s="4"/>
      <c r="CB128" s="4"/>
      <c r="CC128" s="4"/>
      <c r="CD128" s="4"/>
      <c r="CE128" s="4"/>
      <c r="CF128" s="4"/>
      <c r="CG128" s="126">
        <f t="shared" si="64"/>
        <v>128407.6224702</v>
      </c>
      <c r="CH128" s="126">
        <f t="shared" si="65"/>
        <v>52886.097529799998</v>
      </c>
      <c r="CI128" s="126"/>
      <c r="CJ128" s="126"/>
      <c r="CK128" s="9"/>
      <c r="CL128" s="9"/>
      <c r="CM128" s="127"/>
      <c r="CN128" s="9"/>
      <c r="CO128" s="9"/>
      <c r="CP128" s="9"/>
      <c r="CQ128" s="126"/>
      <c r="CR128" s="126"/>
      <c r="CS128" s="126"/>
      <c r="CT128" s="126"/>
      <c r="CU128" s="126"/>
      <c r="CV128" s="9"/>
      <c r="CW128" s="9"/>
      <c r="CX128" s="127"/>
      <c r="CY128" s="67"/>
      <c r="CZ128" s="67"/>
    </row>
    <row r="129" spans="1:104" x14ac:dyDescent="0.35">
      <c r="A129" s="143">
        <v>126</v>
      </c>
      <c r="B129" s="116" t="s">
        <v>577</v>
      </c>
      <c r="C129" s="144">
        <v>2858305.9509918317</v>
      </c>
      <c r="D129" s="144">
        <v>317499.78000000003</v>
      </c>
      <c r="E129" s="144">
        <v>49935.45</v>
      </c>
      <c r="F129" s="145">
        <f t="shared" si="38"/>
        <v>367435.23000000004</v>
      </c>
      <c r="G129" s="144"/>
      <c r="H129" s="144"/>
      <c r="I129" s="145"/>
      <c r="J129" s="144">
        <v>67046.17</v>
      </c>
      <c r="K129" s="144">
        <v>11051.58</v>
      </c>
      <c r="L129" s="145">
        <f t="shared" si="39"/>
        <v>78097.75</v>
      </c>
      <c r="M129" s="146">
        <v>37845.93</v>
      </c>
      <c r="N129" s="146">
        <v>3232.27</v>
      </c>
      <c r="O129" s="145">
        <f t="shared" si="40"/>
        <v>41078.199999999997</v>
      </c>
      <c r="P129" s="144">
        <v>234995.11</v>
      </c>
      <c r="Q129" s="144">
        <v>20070</v>
      </c>
      <c r="R129" s="147">
        <f t="shared" si="41"/>
        <v>255065.11</v>
      </c>
      <c r="S129" s="117">
        <v>0</v>
      </c>
      <c r="T129" s="117">
        <v>0</v>
      </c>
      <c r="U129" s="146">
        <v>0</v>
      </c>
      <c r="V129" s="146">
        <v>0</v>
      </c>
      <c r="W129" s="4"/>
      <c r="X129" s="4"/>
      <c r="Y129" s="4"/>
      <c r="Z129" s="4"/>
      <c r="AA129" s="4"/>
      <c r="AB129" s="4"/>
      <c r="AC129" s="4"/>
      <c r="AD129" s="4"/>
      <c r="AE129" s="4"/>
      <c r="AF129" s="118">
        <f t="shared" si="42"/>
        <v>78097.75</v>
      </c>
      <c r="AG129" s="112">
        <f t="shared" si="42"/>
        <v>37845.93</v>
      </c>
      <c r="AH129" s="112">
        <f t="shared" si="42"/>
        <v>3232.27</v>
      </c>
      <c r="AI129" s="10">
        <f t="shared" si="43"/>
        <v>23424.343867509997</v>
      </c>
      <c r="AJ129" s="10">
        <f t="shared" si="44"/>
        <v>9364.2342942899995</v>
      </c>
      <c r="AK129" s="10">
        <f t="shared" si="45"/>
        <v>76.5286866</v>
      </c>
      <c r="AL129" s="10">
        <f t="shared" si="46"/>
        <v>8213.0931516000001</v>
      </c>
      <c r="AM129" s="10">
        <f t="shared" si="47"/>
        <v>0</v>
      </c>
      <c r="AN129" s="9">
        <f t="shared" si="48"/>
        <v>0</v>
      </c>
      <c r="AO129" s="10">
        <f t="shared" si="49"/>
        <v>0</v>
      </c>
      <c r="AP129" s="66">
        <f t="shared" si="50"/>
        <v>240708.89432493178</v>
      </c>
      <c r="AQ129" s="66">
        <f t="shared" si="51"/>
        <v>83824.355079936999</v>
      </c>
      <c r="AR129" s="66">
        <f t="shared" si="52"/>
        <v>780.97225229754963</v>
      </c>
      <c r="AS129" s="66">
        <f t="shared" si="53"/>
        <v>19524.306307438739</v>
      </c>
      <c r="AT129" s="66"/>
      <c r="AU129" s="4"/>
      <c r="AV129" s="4"/>
      <c r="AW129" s="4"/>
      <c r="AX129" s="4"/>
      <c r="AY129" s="4"/>
      <c r="AZ129" s="4"/>
      <c r="BA129" s="4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9">
        <f t="shared" si="37"/>
        <v>464014.47796460509</v>
      </c>
      <c r="BN129" s="9">
        <f t="shared" si="66"/>
        <v>356170.68642397877</v>
      </c>
      <c r="BO129" s="9">
        <f t="shared" si="54"/>
        <v>106986.29060172875</v>
      </c>
      <c r="BP129" s="9">
        <f t="shared" si="55"/>
        <v>857.50093889754964</v>
      </c>
      <c r="BQ129" s="10">
        <f t="shared" si="56"/>
        <v>0</v>
      </c>
      <c r="BR129" s="9">
        <f t="shared" si="57"/>
        <v>464014.47796460503</v>
      </c>
      <c r="BS129" s="142">
        <f t="shared" si="67"/>
        <v>324533.24940486881</v>
      </c>
      <c r="BT129" s="83">
        <f t="shared" si="58"/>
        <v>324533</v>
      </c>
      <c r="BU129" s="175">
        <f t="shared" si="59"/>
        <v>3.1688191548373285E-4</v>
      </c>
      <c r="BV129" s="173">
        <f t="shared" si="60"/>
        <v>78097.75</v>
      </c>
      <c r="BW129" s="176">
        <f t="shared" si="61"/>
        <v>4.5533540622861988E-4</v>
      </c>
      <c r="BX129" s="177">
        <f t="shared" si="62"/>
        <v>0</v>
      </c>
      <c r="BY129" s="178">
        <f t="shared" si="63"/>
        <v>0</v>
      </c>
      <c r="BZ129" s="4"/>
      <c r="CA129" s="4"/>
      <c r="CB129" s="4"/>
      <c r="CC129" s="4"/>
      <c r="CD129" s="4"/>
      <c r="CE129" s="4"/>
      <c r="CF129" s="4"/>
      <c r="CG129" s="126">
        <f t="shared" si="64"/>
        <v>260248.86188055004</v>
      </c>
      <c r="CH129" s="126">
        <f t="shared" si="65"/>
        <v>107186.36811944999</v>
      </c>
      <c r="CI129" s="126"/>
      <c r="CJ129" s="126"/>
      <c r="CK129" s="9"/>
      <c r="CL129" s="9"/>
      <c r="CM129" s="127"/>
      <c r="CN129" s="9"/>
      <c r="CO129" s="9"/>
      <c r="CP129" s="9"/>
      <c r="CQ129" s="126"/>
      <c r="CR129" s="126"/>
      <c r="CS129" s="126"/>
      <c r="CT129" s="126"/>
      <c r="CU129" s="126"/>
      <c r="CV129" s="9"/>
      <c r="CW129" s="9"/>
      <c r="CX129" s="127"/>
      <c r="CY129" s="67"/>
      <c r="CZ129" s="67"/>
    </row>
    <row r="130" spans="1:104" x14ac:dyDescent="0.35">
      <c r="A130" s="143">
        <v>127</v>
      </c>
      <c r="B130" s="116" t="s">
        <v>578</v>
      </c>
      <c r="C130" s="144">
        <v>13013306.962271491</v>
      </c>
      <c r="D130" s="144">
        <v>1353587.32</v>
      </c>
      <c r="E130" s="144">
        <v>319273.28999999998</v>
      </c>
      <c r="F130" s="145">
        <f t="shared" si="38"/>
        <v>1672860.61</v>
      </c>
      <c r="G130" s="144"/>
      <c r="H130" s="144"/>
      <c r="I130" s="145"/>
      <c r="J130" s="144">
        <v>300733.40999999997</v>
      </c>
      <c r="K130" s="144">
        <v>72061.37</v>
      </c>
      <c r="L130" s="145">
        <f t="shared" si="39"/>
        <v>372794.77999999997</v>
      </c>
      <c r="M130" s="146">
        <v>81366.210000000006</v>
      </c>
      <c r="N130" s="146">
        <v>13141.73</v>
      </c>
      <c r="O130" s="145">
        <f t="shared" si="40"/>
        <v>94507.94</v>
      </c>
      <c r="P130" s="144">
        <v>505222.89</v>
      </c>
      <c r="Q130" s="144">
        <v>81600.14</v>
      </c>
      <c r="R130" s="147">
        <f t="shared" si="41"/>
        <v>586823.03</v>
      </c>
      <c r="S130" s="117">
        <v>0</v>
      </c>
      <c r="T130" s="117">
        <v>0</v>
      </c>
      <c r="U130" s="146">
        <v>0</v>
      </c>
      <c r="V130" s="146">
        <v>0</v>
      </c>
      <c r="W130" s="4"/>
      <c r="X130" s="4"/>
      <c r="Y130" s="4"/>
      <c r="Z130" s="4"/>
      <c r="AA130" s="4"/>
      <c r="AB130" s="4"/>
      <c r="AC130" s="4"/>
      <c r="AD130" s="4"/>
      <c r="AE130" s="4"/>
      <c r="AF130" s="118">
        <f t="shared" si="42"/>
        <v>372794.77999999997</v>
      </c>
      <c r="AG130" s="112">
        <f t="shared" si="42"/>
        <v>81366.210000000006</v>
      </c>
      <c r="AH130" s="112">
        <f t="shared" si="42"/>
        <v>13141.73</v>
      </c>
      <c r="AI130" s="10">
        <f t="shared" si="43"/>
        <v>54246.262335769999</v>
      </c>
      <c r="AJ130" s="10">
        <f t="shared" si="44"/>
        <v>21189.88086429</v>
      </c>
      <c r="AK130" s="10">
        <f t="shared" si="45"/>
        <v>176.06829222000002</v>
      </c>
      <c r="AL130" s="10">
        <f t="shared" si="46"/>
        <v>18895.728507720003</v>
      </c>
      <c r="AM130" s="10">
        <f t="shared" si="47"/>
        <v>0</v>
      </c>
      <c r="AN130" s="9">
        <f t="shared" si="48"/>
        <v>0</v>
      </c>
      <c r="AO130" s="10">
        <f t="shared" si="49"/>
        <v>0</v>
      </c>
      <c r="AP130" s="66">
        <f t="shared" si="50"/>
        <v>1155451.8670510554</v>
      </c>
      <c r="AQ130" s="66">
        <f t="shared" si="51"/>
        <v>400132.78261914197</v>
      </c>
      <c r="AR130" s="66">
        <f t="shared" si="52"/>
        <v>3727.9451796814465</v>
      </c>
      <c r="AS130" s="66">
        <f t="shared" si="53"/>
        <v>93198.629492036169</v>
      </c>
      <c r="AT130" s="66"/>
      <c r="AU130" s="4"/>
      <c r="AV130" s="4"/>
      <c r="AW130" s="4"/>
      <c r="AX130" s="4"/>
      <c r="AY130" s="4"/>
      <c r="AZ130" s="4"/>
      <c r="BA130" s="4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9">
        <f t="shared" si="37"/>
        <v>2119813.9443419147</v>
      </c>
      <c r="BN130" s="9">
        <f t="shared" si="66"/>
        <v>1628726.6405136874</v>
      </c>
      <c r="BO130" s="9">
        <f t="shared" si="54"/>
        <v>487183.29035632615</v>
      </c>
      <c r="BP130" s="9">
        <f t="shared" si="55"/>
        <v>3904.0134719014463</v>
      </c>
      <c r="BQ130" s="10">
        <f t="shared" si="56"/>
        <v>0</v>
      </c>
      <c r="BR130" s="9">
        <f t="shared" si="57"/>
        <v>2119813.9443419147</v>
      </c>
      <c r="BS130" s="142">
        <f t="shared" si="67"/>
        <v>1555584.6496701974</v>
      </c>
      <c r="BT130" s="83">
        <f t="shared" si="58"/>
        <v>1555585</v>
      </c>
      <c r="BU130" s="175">
        <f t="shared" si="59"/>
        <v>1.5189095243354391E-3</v>
      </c>
      <c r="BV130" s="173">
        <f t="shared" si="60"/>
        <v>372794.77999999997</v>
      </c>
      <c r="BW130" s="176">
        <f t="shared" si="61"/>
        <v>2.1735154033401599E-3</v>
      </c>
      <c r="BX130" s="177">
        <f t="shared" si="62"/>
        <v>0</v>
      </c>
      <c r="BY130" s="178">
        <f t="shared" si="63"/>
        <v>0</v>
      </c>
      <c r="BZ130" s="4"/>
      <c r="CA130" s="4"/>
      <c r="CB130" s="4"/>
      <c r="CC130" s="4"/>
      <c r="CD130" s="4"/>
      <c r="CE130" s="4"/>
      <c r="CF130" s="4"/>
      <c r="CG130" s="126">
        <f t="shared" si="64"/>
        <v>1184862.0771538501</v>
      </c>
      <c r="CH130" s="126">
        <f t="shared" si="65"/>
        <v>487998.53284615005</v>
      </c>
      <c r="CI130" s="126"/>
      <c r="CJ130" s="126"/>
      <c r="CK130" s="9"/>
      <c r="CL130" s="9"/>
      <c r="CM130" s="127"/>
      <c r="CN130" s="9"/>
      <c r="CO130" s="9"/>
      <c r="CP130" s="9"/>
      <c r="CQ130" s="126"/>
      <c r="CR130" s="126"/>
      <c r="CS130" s="126"/>
      <c r="CT130" s="126"/>
      <c r="CU130" s="126"/>
      <c r="CV130" s="9"/>
      <c r="CW130" s="9"/>
      <c r="CX130" s="127"/>
      <c r="CY130" s="67"/>
      <c r="CZ130" s="67"/>
    </row>
    <row r="131" spans="1:104" x14ac:dyDescent="0.35">
      <c r="A131" s="143">
        <v>128</v>
      </c>
      <c r="B131" s="116" t="s">
        <v>579</v>
      </c>
      <c r="C131" s="144">
        <v>6276572.3064955268</v>
      </c>
      <c r="D131" s="144">
        <v>578502.06999999995</v>
      </c>
      <c r="E131" s="144">
        <v>228351.3</v>
      </c>
      <c r="F131" s="145">
        <f t="shared" si="38"/>
        <v>806853.36999999988</v>
      </c>
      <c r="G131" s="144"/>
      <c r="H131" s="144"/>
      <c r="I131" s="145"/>
      <c r="J131" s="144">
        <v>128561.03</v>
      </c>
      <c r="K131" s="144">
        <v>51388.98</v>
      </c>
      <c r="L131" s="145">
        <f t="shared" si="39"/>
        <v>179950.01</v>
      </c>
      <c r="M131" s="146">
        <v>34605.67</v>
      </c>
      <c r="N131" s="146">
        <v>10214.299999999999</v>
      </c>
      <c r="O131" s="145">
        <f t="shared" si="40"/>
        <v>44819.97</v>
      </c>
      <c r="P131" s="144">
        <v>214875.02</v>
      </c>
      <c r="Q131" s="144">
        <v>63423</v>
      </c>
      <c r="R131" s="147">
        <f t="shared" si="41"/>
        <v>278298.02</v>
      </c>
      <c r="S131" s="117">
        <v>0</v>
      </c>
      <c r="T131" s="117">
        <v>0</v>
      </c>
      <c r="U131" s="146">
        <v>0</v>
      </c>
      <c r="V131" s="146">
        <v>0</v>
      </c>
      <c r="W131" s="4"/>
      <c r="X131" s="4"/>
      <c r="Y131" s="4"/>
      <c r="Z131" s="4"/>
      <c r="AA131" s="4"/>
      <c r="AB131" s="4"/>
      <c r="AC131" s="4"/>
      <c r="AD131" s="4"/>
      <c r="AE131" s="4"/>
      <c r="AF131" s="118">
        <f t="shared" si="42"/>
        <v>179950.01</v>
      </c>
      <c r="AG131" s="112">
        <f t="shared" si="42"/>
        <v>34605.67</v>
      </c>
      <c r="AH131" s="112">
        <f t="shared" si="42"/>
        <v>10214.299999999999</v>
      </c>
      <c r="AI131" s="10">
        <f t="shared" si="43"/>
        <v>25973.296209339998</v>
      </c>
      <c r="AJ131" s="10">
        <f t="shared" si="44"/>
        <v>9801.9590246899988</v>
      </c>
      <c r="AK131" s="10">
        <f t="shared" si="45"/>
        <v>83.499604110000007</v>
      </c>
      <c r="AL131" s="10">
        <f t="shared" si="46"/>
        <v>8961.2151618600001</v>
      </c>
      <c r="AM131" s="10">
        <f t="shared" si="47"/>
        <v>0</v>
      </c>
      <c r="AN131" s="9">
        <f t="shared" si="48"/>
        <v>0</v>
      </c>
      <c r="AO131" s="10">
        <f t="shared" si="49"/>
        <v>0</v>
      </c>
      <c r="AP131" s="66">
        <f t="shared" si="50"/>
        <v>563272.26105496264</v>
      </c>
      <c r="AQ131" s="66">
        <f t="shared" si="51"/>
        <v>193144.43202515595</v>
      </c>
      <c r="AR131" s="66">
        <f t="shared" si="52"/>
        <v>1799.482285948658</v>
      </c>
      <c r="AS131" s="66">
        <f t="shared" si="53"/>
        <v>44987.057148716449</v>
      </c>
      <c r="AT131" s="66"/>
      <c r="AU131" s="4"/>
      <c r="AV131" s="4"/>
      <c r="AW131" s="4"/>
      <c r="AX131" s="4"/>
      <c r="AY131" s="4"/>
      <c r="AZ131" s="4"/>
      <c r="BA131" s="4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9">
        <f t="shared" si="37"/>
        <v>1027973.2125147837</v>
      </c>
      <c r="BN131" s="9">
        <f t="shared" si="66"/>
        <v>791351.2044513186</v>
      </c>
      <c r="BO131" s="9">
        <f t="shared" si="54"/>
        <v>234739.02617340646</v>
      </c>
      <c r="BP131" s="9">
        <f t="shared" si="55"/>
        <v>1882.9818900586581</v>
      </c>
      <c r="BQ131" s="10">
        <f t="shared" si="56"/>
        <v>0</v>
      </c>
      <c r="BR131" s="9">
        <f t="shared" si="57"/>
        <v>1027973.2125147837</v>
      </c>
      <c r="BS131" s="142">
        <f t="shared" si="67"/>
        <v>756416.69308011862</v>
      </c>
      <c r="BT131" s="83">
        <f t="shared" si="58"/>
        <v>756417</v>
      </c>
      <c r="BU131" s="175">
        <f t="shared" si="59"/>
        <v>7.3858309139865537E-4</v>
      </c>
      <c r="BV131" s="173">
        <f t="shared" si="60"/>
        <v>179950.01</v>
      </c>
      <c r="BW131" s="176">
        <f t="shared" si="61"/>
        <v>1.0491673691520461E-3</v>
      </c>
      <c r="BX131" s="177">
        <f t="shared" si="62"/>
        <v>0</v>
      </c>
      <c r="BY131" s="178">
        <f t="shared" si="63"/>
        <v>0</v>
      </c>
      <c r="BZ131" s="4"/>
      <c r="CA131" s="4"/>
      <c r="CB131" s="4"/>
      <c r="CC131" s="4"/>
      <c r="CD131" s="4"/>
      <c r="CE131" s="4"/>
      <c r="CF131" s="4"/>
      <c r="CG131" s="126">
        <f t="shared" si="64"/>
        <v>571482.13917044993</v>
      </c>
      <c r="CH131" s="126">
        <f t="shared" si="65"/>
        <v>235371.23082954998</v>
      </c>
      <c r="CI131" s="126"/>
      <c r="CJ131" s="126"/>
      <c r="CK131" s="9"/>
      <c r="CL131" s="9"/>
      <c r="CM131" s="127"/>
      <c r="CN131" s="9"/>
      <c r="CO131" s="9"/>
      <c r="CP131" s="9"/>
      <c r="CQ131" s="126"/>
      <c r="CR131" s="126"/>
      <c r="CS131" s="126"/>
      <c r="CT131" s="126"/>
      <c r="CU131" s="126"/>
      <c r="CV131" s="9"/>
      <c r="CW131" s="9"/>
      <c r="CX131" s="127"/>
      <c r="CY131" s="67"/>
      <c r="CZ131" s="67"/>
    </row>
    <row r="132" spans="1:104" x14ac:dyDescent="0.35">
      <c r="A132" s="143">
        <v>129</v>
      </c>
      <c r="B132" s="116" t="s">
        <v>580</v>
      </c>
      <c r="C132" s="144">
        <v>3705348.3469467135</v>
      </c>
      <c r="D132" s="144">
        <v>304395.88</v>
      </c>
      <c r="E132" s="144">
        <v>171926.65</v>
      </c>
      <c r="F132" s="145">
        <f t="shared" si="38"/>
        <v>476322.53</v>
      </c>
      <c r="G132" s="144"/>
      <c r="H132" s="144"/>
      <c r="I132" s="145"/>
      <c r="J132" s="144">
        <v>69950.03</v>
      </c>
      <c r="K132" s="144">
        <v>38163.58</v>
      </c>
      <c r="L132" s="145">
        <f t="shared" si="39"/>
        <v>108113.61</v>
      </c>
      <c r="M132" s="146">
        <v>5842.83</v>
      </c>
      <c r="N132" s="146">
        <v>10517.91</v>
      </c>
      <c r="O132" s="145">
        <f t="shared" si="40"/>
        <v>16360.74</v>
      </c>
      <c r="P132" s="144">
        <v>36279.75</v>
      </c>
      <c r="Q132" s="144">
        <v>65308.13</v>
      </c>
      <c r="R132" s="147">
        <f t="shared" si="41"/>
        <v>101587.88</v>
      </c>
      <c r="S132" s="117">
        <v>0</v>
      </c>
      <c r="T132" s="117">
        <v>0</v>
      </c>
      <c r="U132" s="146">
        <v>0</v>
      </c>
      <c r="V132" s="146">
        <v>0</v>
      </c>
      <c r="W132" s="4"/>
      <c r="X132" s="4"/>
      <c r="Y132" s="4"/>
      <c r="Z132" s="4"/>
      <c r="AA132" s="4"/>
      <c r="AB132" s="4"/>
      <c r="AC132" s="4"/>
      <c r="AD132" s="4"/>
      <c r="AE132" s="4"/>
      <c r="AF132" s="118">
        <f t="shared" si="42"/>
        <v>108113.61</v>
      </c>
      <c r="AG132" s="112">
        <f t="shared" si="42"/>
        <v>5842.83</v>
      </c>
      <c r="AH132" s="112">
        <f t="shared" si="42"/>
        <v>10517.91</v>
      </c>
      <c r="AI132" s="10">
        <f t="shared" si="43"/>
        <v>9902.6656661100005</v>
      </c>
      <c r="AJ132" s="10">
        <f t="shared" si="44"/>
        <v>3156.4606411499999</v>
      </c>
      <c r="AK132" s="10">
        <f t="shared" si="45"/>
        <v>30.480058620000001</v>
      </c>
      <c r="AL132" s="10">
        <f t="shared" si="46"/>
        <v>3271.1336341200004</v>
      </c>
      <c r="AM132" s="10">
        <f t="shared" si="47"/>
        <v>0</v>
      </c>
      <c r="AN132" s="9">
        <f t="shared" si="48"/>
        <v>0</v>
      </c>
      <c r="AO132" s="10">
        <f t="shared" si="49"/>
        <v>0</v>
      </c>
      <c r="AP132" s="66">
        <f t="shared" si="50"/>
        <v>340843.61104358069</v>
      </c>
      <c r="AQ132" s="66">
        <f t="shared" si="51"/>
        <v>116041.08703568418</v>
      </c>
      <c r="AR132" s="66">
        <f t="shared" si="52"/>
        <v>1081.1281400840139</v>
      </c>
      <c r="AS132" s="66">
        <f t="shared" si="53"/>
        <v>27028.203502100347</v>
      </c>
      <c r="AT132" s="66"/>
      <c r="AU132" s="4"/>
      <c r="AV132" s="4"/>
      <c r="AW132" s="4"/>
      <c r="AX132" s="4"/>
      <c r="AY132" s="4"/>
      <c r="AZ132" s="4"/>
      <c r="BA132" s="4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9">
        <f t="shared" ref="BM132:BM195" si="68">SUM(Y132:AF132)+SUM(AI132:BL132)</f>
        <v>609468.37972144922</v>
      </c>
      <c r="BN132" s="9">
        <f t="shared" si="66"/>
        <v>470058.49737949483</v>
      </c>
      <c r="BO132" s="9">
        <f t="shared" si="54"/>
        <v>138298.27414325034</v>
      </c>
      <c r="BP132" s="9">
        <f t="shared" si="55"/>
        <v>1111.6081987040138</v>
      </c>
      <c r="BQ132" s="10">
        <f t="shared" si="56"/>
        <v>0</v>
      </c>
      <c r="BR132" s="9">
        <f t="shared" si="57"/>
        <v>609468.37972144911</v>
      </c>
      <c r="BS132" s="142">
        <f t="shared" si="67"/>
        <v>456884.69807926484</v>
      </c>
      <c r="BT132" s="83">
        <f t="shared" si="58"/>
        <v>456885</v>
      </c>
      <c r="BU132" s="175">
        <f t="shared" si="59"/>
        <v>4.4611299011136814E-4</v>
      </c>
      <c r="BV132" s="173">
        <f t="shared" si="60"/>
        <v>108113.61</v>
      </c>
      <c r="BW132" s="176">
        <f t="shared" si="61"/>
        <v>6.3033767974355964E-4</v>
      </c>
      <c r="BX132" s="177">
        <f t="shared" si="62"/>
        <v>0</v>
      </c>
      <c r="BY132" s="178">
        <f t="shared" si="63"/>
        <v>0</v>
      </c>
      <c r="BZ132" s="4"/>
      <c r="CA132" s="4"/>
      <c r="CB132" s="4"/>
      <c r="CC132" s="4"/>
      <c r="CD132" s="4"/>
      <c r="CE132" s="4"/>
      <c r="CF132" s="4"/>
      <c r="CG132" s="126">
        <f t="shared" si="64"/>
        <v>337372.10316105001</v>
      </c>
      <c r="CH132" s="126">
        <f t="shared" si="65"/>
        <v>138950.42683894999</v>
      </c>
      <c r="CI132" s="126"/>
      <c r="CJ132" s="126"/>
      <c r="CK132" s="9"/>
      <c r="CL132" s="9"/>
      <c r="CM132" s="127"/>
      <c r="CN132" s="9"/>
      <c r="CO132" s="9"/>
      <c r="CP132" s="9"/>
      <c r="CQ132" s="126"/>
      <c r="CR132" s="126"/>
      <c r="CS132" s="126"/>
      <c r="CT132" s="126"/>
      <c r="CU132" s="126"/>
      <c r="CV132" s="9"/>
      <c r="CW132" s="9"/>
      <c r="CX132" s="127"/>
      <c r="CY132" s="67"/>
      <c r="CZ132" s="67"/>
    </row>
    <row r="133" spans="1:104" x14ac:dyDescent="0.35">
      <c r="A133" s="143">
        <v>131</v>
      </c>
      <c r="B133" s="116" t="s">
        <v>581</v>
      </c>
      <c r="C133" s="144">
        <v>5287879.5799299888</v>
      </c>
      <c r="D133" s="144">
        <v>466365.87</v>
      </c>
      <c r="E133" s="144">
        <v>213391.05</v>
      </c>
      <c r="F133" s="145">
        <f t="shared" si="38"/>
        <v>679756.91999999993</v>
      </c>
      <c r="G133" s="144"/>
      <c r="H133" s="144"/>
      <c r="I133" s="145"/>
      <c r="J133" s="144">
        <v>95491.13</v>
      </c>
      <c r="K133" s="144">
        <v>44890.14</v>
      </c>
      <c r="L133" s="145">
        <f t="shared" si="39"/>
        <v>140381.27000000002</v>
      </c>
      <c r="M133" s="146">
        <v>71645.38</v>
      </c>
      <c r="N133" s="146">
        <v>26358.31</v>
      </c>
      <c r="O133" s="145">
        <f t="shared" si="40"/>
        <v>98003.69</v>
      </c>
      <c r="P133" s="144">
        <v>444863.51</v>
      </c>
      <c r="Q133" s="144">
        <v>163666.13</v>
      </c>
      <c r="R133" s="147">
        <f t="shared" si="41"/>
        <v>608529.64</v>
      </c>
      <c r="S133" s="117">
        <v>0</v>
      </c>
      <c r="T133" s="117">
        <v>0</v>
      </c>
      <c r="U133" s="146">
        <v>0</v>
      </c>
      <c r="V133" s="146">
        <v>0</v>
      </c>
      <c r="W133" s="4"/>
      <c r="X133" s="4"/>
      <c r="Y133" s="4"/>
      <c r="Z133" s="4"/>
      <c r="AA133" s="4"/>
      <c r="AB133" s="4"/>
      <c r="AC133" s="4"/>
      <c r="AD133" s="4"/>
      <c r="AE133" s="4"/>
      <c r="AF133" s="118">
        <f t="shared" si="42"/>
        <v>140381.27000000002</v>
      </c>
      <c r="AG133" s="112">
        <f t="shared" si="42"/>
        <v>71645.38</v>
      </c>
      <c r="AH133" s="112">
        <f t="shared" si="42"/>
        <v>26358.31</v>
      </c>
      <c r="AI133" s="10">
        <f t="shared" si="43"/>
        <v>57043.248691710003</v>
      </c>
      <c r="AJ133" s="10">
        <f t="shared" si="44"/>
        <v>21183.1986626</v>
      </c>
      <c r="AK133" s="10">
        <f t="shared" si="45"/>
        <v>182.58087447000003</v>
      </c>
      <c r="AL133" s="10">
        <f t="shared" si="46"/>
        <v>19594.661771220002</v>
      </c>
      <c r="AM133" s="10">
        <f t="shared" si="47"/>
        <v>0</v>
      </c>
      <c r="AN133" s="9">
        <f t="shared" si="48"/>
        <v>0</v>
      </c>
      <c r="AO133" s="10">
        <f t="shared" si="49"/>
        <v>0</v>
      </c>
      <c r="AP133" s="66">
        <f t="shared" si="50"/>
        <v>441017.99903867685</v>
      </c>
      <c r="AQ133" s="66">
        <f t="shared" si="51"/>
        <v>150675.06806574561</v>
      </c>
      <c r="AR133" s="66">
        <f t="shared" si="52"/>
        <v>1403.8049819789962</v>
      </c>
      <c r="AS133" s="66">
        <f t="shared" si="53"/>
        <v>35095.124549474909</v>
      </c>
      <c r="AT133" s="66"/>
      <c r="AU133" s="4"/>
      <c r="AV133" s="4"/>
      <c r="AW133" s="4"/>
      <c r="AX133" s="4"/>
      <c r="AY133" s="4"/>
      <c r="AZ133" s="4"/>
      <c r="BA133" s="4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9">
        <f t="shared" si="68"/>
        <v>866576.95663587644</v>
      </c>
      <c r="BN133" s="9">
        <f t="shared" si="66"/>
        <v>668330.97756735247</v>
      </c>
      <c r="BO133" s="9">
        <f t="shared" si="54"/>
        <v>196659.59321207495</v>
      </c>
      <c r="BP133" s="9">
        <f t="shared" si="55"/>
        <v>1586.3858564489963</v>
      </c>
      <c r="BQ133" s="10">
        <f t="shared" si="56"/>
        <v>0</v>
      </c>
      <c r="BR133" s="9">
        <f t="shared" si="57"/>
        <v>866576.95663587644</v>
      </c>
      <c r="BS133" s="142">
        <f t="shared" si="67"/>
        <v>591693.06710442249</v>
      </c>
      <c r="BT133" s="83">
        <f t="shared" si="58"/>
        <v>591693</v>
      </c>
      <c r="BU133" s="175">
        <f t="shared" si="59"/>
        <v>5.7774305969057781E-4</v>
      </c>
      <c r="BV133" s="173">
        <f t="shared" si="60"/>
        <v>140381.27000000002</v>
      </c>
      <c r="BW133" s="176">
        <f t="shared" si="61"/>
        <v>8.1846868318664217E-4</v>
      </c>
      <c r="BX133" s="177">
        <f t="shared" si="62"/>
        <v>0</v>
      </c>
      <c r="BY133" s="178">
        <f t="shared" si="63"/>
        <v>0</v>
      </c>
      <c r="BZ133" s="4"/>
      <c r="CA133" s="4"/>
      <c r="CB133" s="4"/>
      <c r="CC133" s="4"/>
      <c r="CD133" s="4"/>
      <c r="CE133" s="4"/>
      <c r="CF133" s="4"/>
      <c r="CG133" s="126">
        <f t="shared" si="64"/>
        <v>481461.63008220005</v>
      </c>
      <c r="CH133" s="126">
        <f t="shared" si="65"/>
        <v>198295.28991779999</v>
      </c>
      <c r="CI133" s="126"/>
      <c r="CJ133" s="126"/>
      <c r="CK133" s="9"/>
      <c r="CL133" s="9"/>
      <c r="CM133" s="127"/>
      <c r="CN133" s="9"/>
      <c r="CO133" s="9"/>
      <c r="CP133" s="9"/>
      <c r="CQ133" s="126"/>
      <c r="CR133" s="126"/>
      <c r="CS133" s="126"/>
      <c r="CT133" s="126"/>
      <c r="CU133" s="126"/>
      <c r="CV133" s="9"/>
      <c r="CW133" s="9"/>
      <c r="CX133" s="127"/>
      <c r="CY133" s="67"/>
      <c r="CZ133" s="67"/>
    </row>
    <row r="134" spans="1:104" x14ac:dyDescent="0.35">
      <c r="A134" s="143">
        <v>134</v>
      </c>
      <c r="B134" s="116" t="s">
        <v>582</v>
      </c>
      <c r="C134" s="144">
        <v>18909866.044340722</v>
      </c>
      <c r="D134" s="144">
        <v>1857378.96</v>
      </c>
      <c r="E134" s="144">
        <v>573484.31999999995</v>
      </c>
      <c r="F134" s="145">
        <f t="shared" si="38"/>
        <v>2430863.2799999998</v>
      </c>
      <c r="G134" s="144"/>
      <c r="H134" s="144"/>
      <c r="I134" s="145"/>
      <c r="J134" s="144">
        <v>411471.05</v>
      </c>
      <c r="K134" s="144">
        <v>121651</v>
      </c>
      <c r="L134" s="145">
        <f t="shared" si="39"/>
        <v>533122.05000000005</v>
      </c>
      <c r="M134" s="146">
        <v>118069.97</v>
      </c>
      <c r="N134" s="146">
        <v>65402.080000000002</v>
      </c>
      <c r="O134" s="145">
        <f t="shared" si="40"/>
        <v>183472.05</v>
      </c>
      <c r="P134" s="144">
        <v>733124.81</v>
      </c>
      <c r="Q134" s="144">
        <v>406097.97</v>
      </c>
      <c r="R134" s="147">
        <f t="shared" si="41"/>
        <v>1139222.78</v>
      </c>
      <c r="S134" s="117">
        <v>0</v>
      </c>
      <c r="T134" s="117">
        <v>0</v>
      </c>
      <c r="U134" s="146">
        <v>0</v>
      </c>
      <c r="V134" s="146">
        <v>0</v>
      </c>
      <c r="W134" s="4"/>
      <c r="X134" s="4"/>
      <c r="Y134" s="4"/>
      <c r="Z134" s="4"/>
      <c r="AA134" s="4"/>
      <c r="AB134" s="4"/>
      <c r="AC134" s="4"/>
      <c r="AD134" s="4"/>
      <c r="AE134" s="4"/>
      <c r="AF134" s="118">
        <f t="shared" si="42"/>
        <v>533122.05000000005</v>
      </c>
      <c r="AG134" s="112">
        <f t="shared" si="42"/>
        <v>118069.97</v>
      </c>
      <c r="AH134" s="112">
        <f t="shared" si="42"/>
        <v>65402.080000000002</v>
      </c>
      <c r="AI134" s="10">
        <f t="shared" si="43"/>
        <v>107787.30176504</v>
      </c>
      <c r="AJ134" s="10">
        <f t="shared" si="44"/>
        <v>38659.905072909998</v>
      </c>
      <c r="AK134" s="10">
        <f t="shared" si="45"/>
        <v>341.80842915000005</v>
      </c>
      <c r="AL134" s="10">
        <f t="shared" si="46"/>
        <v>36683.0347329</v>
      </c>
      <c r="AM134" s="10">
        <f t="shared" si="47"/>
        <v>0</v>
      </c>
      <c r="AN134" s="9">
        <f t="shared" si="48"/>
        <v>0</v>
      </c>
      <c r="AO134" s="10">
        <f t="shared" si="49"/>
        <v>0</v>
      </c>
      <c r="AP134" s="66">
        <f t="shared" si="50"/>
        <v>1658567.8608134389</v>
      </c>
      <c r="AQ134" s="66">
        <f t="shared" si="51"/>
        <v>572214.71311177127</v>
      </c>
      <c r="AR134" s="66">
        <f t="shared" si="52"/>
        <v>5331.1929793022164</v>
      </c>
      <c r="AS134" s="66">
        <f t="shared" si="53"/>
        <v>133279.82448255541</v>
      </c>
      <c r="AT134" s="66"/>
      <c r="AU134" s="4"/>
      <c r="AV134" s="4"/>
      <c r="AW134" s="4"/>
      <c r="AX134" s="4"/>
      <c r="AY134" s="4"/>
      <c r="AZ134" s="4"/>
      <c r="BA134" s="4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9">
        <f t="shared" si="68"/>
        <v>3085987.6913870675</v>
      </c>
      <c r="BN134" s="9">
        <f t="shared" si="66"/>
        <v>2375252.9104231503</v>
      </c>
      <c r="BO134" s="9">
        <f t="shared" si="54"/>
        <v>705061.77955546544</v>
      </c>
      <c r="BP134" s="9">
        <f t="shared" si="55"/>
        <v>5673.0014084522163</v>
      </c>
      <c r="BQ134" s="10">
        <f t="shared" si="56"/>
        <v>0</v>
      </c>
      <c r="BR134" s="9">
        <f t="shared" si="57"/>
        <v>3085987.691387068</v>
      </c>
      <c r="BS134" s="142">
        <f t="shared" si="67"/>
        <v>2230782.5739252102</v>
      </c>
      <c r="BT134" s="83">
        <f t="shared" si="58"/>
        <v>2230783</v>
      </c>
      <c r="BU134" s="175">
        <f t="shared" si="59"/>
        <v>2.178188695147448E-3</v>
      </c>
      <c r="BV134" s="173">
        <f t="shared" si="60"/>
        <v>533122.05000000005</v>
      </c>
      <c r="BW134" s="176">
        <f t="shared" si="61"/>
        <v>3.1082757852330524E-3</v>
      </c>
      <c r="BX134" s="177">
        <f t="shared" si="62"/>
        <v>0</v>
      </c>
      <c r="BY134" s="178">
        <f t="shared" si="63"/>
        <v>0</v>
      </c>
      <c r="BZ134" s="4"/>
      <c r="CA134" s="4"/>
      <c r="CB134" s="4"/>
      <c r="CC134" s="4"/>
      <c r="CD134" s="4"/>
      <c r="CE134" s="4"/>
      <c r="CF134" s="4"/>
      <c r="CG134" s="126">
        <f t="shared" si="64"/>
        <v>1721743.9982747999</v>
      </c>
      <c r="CH134" s="126">
        <f t="shared" si="65"/>
        <v>709119.28172520001</v>
      </c>
      <c r="CI134" s="126"/>
      <c r="CJ134" s="126"/>
      <c r="CK134" s="9"/>
      <c r="CL134" s="9"/>
      <c r="CM134" s="127"/>
      <c r="CN134" s="9"/>
      <c r="CO134" s="9"/>
      <c r="CP134" s="9"/>
      <c r="CQ134" s="126"/>
      <c r="CR134" s="126"/>
      <c r="CS134" s="126"/>
      <c r="CT134" s="126"/>
      <c r="CU134" s="126"/>
      <c r="CV134" s="9"/>
      <c r="CW134" s="9"/>
      <c r="CX134" s="127"/>
      <c r="CY134" s="67"/>
      <c r="CZ134" s="67"/>
    </row>
    <row r="135" spans="1:104" x14ac:dyDescent="0.35">
      <c r="A135" s="143">
        <v>136</v>
      </c>
      <c r="B135" s="116" t="s">
        <v>583</v>
      </c>
      <c r="C135" s="144">
        <v>2216856.5538700894</v>
      </c>
      <c r="D135" s="144">
        <v>220355.59</v>
      </c>
      <c r="E135" s="144">
        <v>64621.32</v>
      </c>
      <c r="F135" s="145">
        <f t="shared" ref="F135:F198" si="69">D135+E135</f>
        <v>284976.90999999997</v>
      </c>
      <c r="G135" s="144"/>
      <c r="H135" s="144"/>
      <c r="I135" s="145"/>
      <c r="J135" s="144">
        <v>46210.93</v>
      </c>
      <c r="K135" s="144">
        <v>14193.63</v>
      </c>
      <c r="L135" s="145">
        <f t="shared" ref="L135:L198" si="70">J135+K135</f>
        <v>60404.56</v>
      </c>
      <c r="M135" s="146">
        <v>27989.71</v>
      </c>
      <c r="N135" s="146">
        <v>4764.74</v>
      </c>
      <c r="O135" s="145">
        <f t="shared" ref="O135:O198" si="71">M135+N135</f>
        <v>32754.449999999997</v>
      </c>
      <c r="P135" s="144">
        <v>173795.19</v>
      </c>
      <c r="Q135" s="144">
        <v>29585.4</v>
      </c>
      <c r="R135" s="147">
        <f t="shared" ref="R135:R198" si="72">P135+Q135</f>
        <v>203380.59</v>
      </c>
      <c r="S135" s="117">
        <v>0</v>
      </c>
      <c r="T135" s="117">
        <v>0</v>
      </c>
      <c r="U135" s="146">
        <v>0</v>
      </c>
      <c r="V135" s="146">
        <v>0</v>
      </c>
      <c r="W135" s="4"/>
      <c r="X135" s="4"/>
      <c r="Y135" s="4"/>
      <c r="Z135" s="4"/>
      <c r="AA135" s="4"/>
      <c r="AB135" s="4"/>
      <c r="AC135" s="4"/>
      <c r="AD135" s="4"/>
      <c r="AE135" s="4"/>
      <c r="AF135" s="118">
        <f t="shared" ref="AF135:AH178" si="73">L135</f>
        <v>60404.56</v>
      </c>
      <c r="AG135" s="112">
        <f t="shared" si="73"/>
        <v>27989.71</v>
      </c>
      <c r="AH135" s="112">
        <f t="shared" si="73"/>
        <v>4764.74</v>
      </c>
      <c r="AI135" s="10">
        <f t="shared" ref="AI135:AI178" si="74">(AG135*0.565352)+(AH135*0.627445)</f>
        <v>18813.650817219997</v>
      </c>
      <c r="AJ135" s="10">
        <f t="shared" ref="AJ135:AJ178" si="75">(AG135*0.232847)+(AH135*0.170754)</f>
        <v>7330.9184183299994</v>
      </c>
      <c r="AK135" s="10">
        <f t="shared" ref="AK135:AK178" si="76">(AG135*0.001863)+(AH135*0.001863)</f>
        <v>61.021540349999995</v>
      </c>
      <c r="AL135" s="10">
        <f t="shared" ref="AL135:AL178" si="77">(AG135*0.199938)+(AH135*0.199938)</f>
        <v>6548.8592240999997</v>
      </c>
      <c r="AM135" s="10">
        <f t="shared" ref="AM135:AM198" si="78">S135</f>
        <v>0</v>
      </c>
      <c r="AN135" s="9">
        <f t="shared" ref="AN135:AN198" si="79">U135</f>
        <v>0</v>
      </c>
      <c r="AO135" s="10">
        <f t="shared" ref="AO135:AO198" si="80">T135</f>
        <v>0</v>
      </c>
      <c r="AP135" s="66">
        <f t="shared" ref="AP135:AP178" si="81">(((D135/0.12855)-P135)*0.09105)+(((E135/0.12855)-Q135)*0.10105)</f>
        <v>188058.07300045335</v>
      </c>
      <c r="AQ135" s="66">
        <f t="shared" ref="AQ135:AQ178" si="82">(((D135/0.12855)-P135)*0.0322)+(((E135/0.12855)-Q135)*0.0322)</f>
        <v>64833.926036616882</v>
      </c>
      <c r="AR135" s="66">
        <f t="shared" ref="AR135:AR178" si="83">(((D135/0.12855)-P135)*0.0003)+(((E135/0.12855)-Q135)*0.0003)</f>
        <v>604.0427891610268</v>
      </c>
      <c r="AS135" s="66">
        <f t="shared" ref="AS135:AS178" si="84">(((D135/0.12855)-P135)*0.0075)+(((E135/0.12855)-Q135)*0.0075)</f>
        <v>15101.069729025672</v>
      </c>
      <c r="AT135" s="66"/>
      <c r="AU135" s="4"/>
      <c r="AV135" s="4"/>
      <c r="AW135" s="4"/>
      <c r="AX135" s="4"/>
      <c r="AY135" s="4"/>
      <c r="AZ135" s="4"/>
      <c r="BA135" s="4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9">
        <f t="shared" si="68"/>
        <v>361756.12155525695</v>
      </c>
      <c r="BN135" s="9">
        <f t="shared" si="66"/>
        <v>278254.50907839026</v>
      </c>
      <c r="BO135" s="9">
        <f t="shared" ref="BO135:BO198" si="85">AB135+AC135+AF135+AJ135+AS135+AX135+BD135+BL135</f>
        <v>82836.548147355672</v>
      </c>
      <c r="BP135" s="9">
        <f t="shared" ref="BP135:BP198" si="86">AD135+AK135+AR135+BH135+BJ135</f>
        <v>665.06432951102681</v>
      </c>
      <c r="BQ135" s="10">
        <f t="shared" ref="BQ135:BQ198" si="87">BK135</f>
        <v>0</v>
      </c>
      <c r="BR135" s="9">
        <f t="shared" ref="BR135:BR198" si="88">SUM(BN135:BQ135)</f>
        <v>361756.12155525695</v>
      </c>
      <c r="BS135" s="142">
        <f t="shared" si="67"/>
        <v>252891.99903707023</v>
      </c>
      <c r="BT135" s="83">
        <f t="shared" ref="BT135:BT198" si="89">ROUND(BS135,0)</f>
        <v>252892</v>
      </c>
      <c r="BU135" s="175">
        <f t="shared" ref="BU135:BU198" si="90">BS135/$BS$5</f>
        <v>2.4692970970565487E-4</v>
      </c>
      <c r="BV135" s="173">
        <f t="shared" ref="BV135:BV198" si="91">AB135+AC135+AF135+AX135</f>
        <v>60404.56</v>
      </c>
      <c r="BW135" s="176">
        <f t="shared" ref="BW135:BW198" si="92">BV135/$BV$5</f>
        <v>3.5217832608059826E-4</v>
      </c>
      <c r="BX135" s="177">
        <f t="shared" ref="BX135:BX198" si="93">AD135</f>
        <v>0</v>
      </c>
      <c r="BY135" s="178">
        <f t="shared" ref="BY135:BY198" si="94">BX135/$BX$5</f>
        <v>0</v>
      </c>
      <c r="BZ135" s="4"/>
      <c r="CA135" s="4"/>
      <c r="CB135" s="4"/>
      <c r="CC135" s="4"/>
      <c r="CD135" s="4"/>
      <c r="CE135" s="4"/>
      <c r="CF135" s="4"/>
      <c r="CG135" s="126">
        <f t="shared" ref="CG135:CG198" si="95">(D135*0.708285)+(E135*0.708285)</f>
        <v>201844.87069935002</v>
      </c>
      <c r="CH135" s="126">
        <f t="shared" ref="CH135:CH198" si="96">(D135*0.291715)+(E135*0.291715)</f>
        <v>83132.039300650009</v>
      </c>
      <c r="CI135" s="126"/>
      <c r="CJ135" s="126"/>
      <c r="CK135" s="9"/>
      <c r="CL135" s="9"/>
      <c r="CM135" s="127"/>
      <c r="CN135" s="9"/>
      <c r="CO135" s="9"/>
      <c r="CP135" s="9"/>
      <c r="CQ135" s="126"/>
      <c r="CR135" s="126"/>
      <c r="CS135" s="126"/>
      <c r="CT135" s="126"/>
      <c r="CU135" s="126"/>
      <c r="CV135" s="9"/>
      <c r="CW135" s="9"/>
      <c r="CX135" s="127"/>
      <c r="CY135" s="67"/>
      <c r="CZ135" s="67"/>
    </row>
    <row r="136" spans="1:104" x14ac:dyDescent="0.35">
      <c r="A136" s="143">
        <v>140</v>
      </c>
      <c r="B136" s="116" t="s">
        <v>584</v>
      </c>
      <c r="C136" s="144">
        <v>6168240.8401400233</v>
      </c>
      <c r="D136" s="144">
        <v>616670.71999999997</v>
      </c>
      <c r="E136" s="144">
        <v>176256.64000000001</v>
      </c>
      <c r="F136" s="145">
        <f t="shared" si="69"/>
        <v>792927.36</v>
      </c>
      <c r="G136" s="144"/>
      <c r="H136" s="144"/>
      <c r="I136" s="145"/>
      <c r="J136" s="144">
        <v>133749.88</v>
      </c>
      <c r="K136" s="144">
        <v>22734.98</v>
      </c>
      <c r="L136" s="145">
        <f t="shared" si="70"/>
        <v>156484.86000000002</v>
      </c>
      <c r="M136" s="146">
        <v>54559.77</v>
      </c>
      <c r="N136" s="146">
        <v>98772.57</v>
      </c>
      <c r="O136" s="145">
        <f t="shared" si="71"/>
        <v>153332.34</v>
      </c>
      <c r="P136" s="144">
        <v>338777.59</v>
      </c>
      <c r="Q136" s="144">
        <v>613298.13</v>
      </c>
      <c r="R136" s="147">
        <f t="shared" si="72"/>
        <v>952075.72</v>
      </c>
      <c r="S136" s="117">
        <v>0</v>
      </c>
      <c r="T136" s="117">
        <v>0</v>
      </c>
      <c r="U136" s="146">
        <v>0</v>
      </c>
      <c r="V136" s="146">
        <v>0</v>
      </c>
      <c r="W136" s="4"/>
      <c r="X136" s="4"/>
      <c r="Y136" s="4"/>
      <c r="Z136" s="4"/>
      <c r="AA136" s="4"/>
      <c r="AB136" s="4"/>
      <c r="AC136" s="4"/>
      <c r="AD136" s="4"/>
      <c r="AE136" s="4"/>
      <c r="AF136" s="118">
        <f t="shared" si="73"/>
        <v>156484.86000000002</v>
      </c>
      <c r="AG136" s="112">
        <f t="shared" si="73"/>
        <v>54559.77</v>
      </c>
      <c r="AH136" s="112">
        <f t="shared" si="73"/>
        <v>98772.57</v>
      </c>
      <c r="AI136" s="10">
        <f t="shared" si="74"/>
        <v>92819.83027269</v>
      </c>
      <c r="AJ136" s="10">
        <f t="shared" si="75"/>
        <v>29569.890182970001</v>
      </c>
      <c r="AK136" s="10">
        <f t="shared" si="76"/>
        <v>285.65814942000003</v>
      </c>
      <c r="AL136" s="10">
        <f t="shared" si="77"/>
        <v>30656.961394920003</v>
      </c>
      <c r="AM136" s="10">
        <f t="shared" si="78"/>
        <v>0</v>
      </c>
      <c r="AN136" s="9">
        <f t="shared" si="79"/>
        <v>0</v>
      </c>
      <c r="AO136" s="10">
        <f t="shared" si="80"/>
        <v>0</v>
      </c>
      <c r="AP136" s="66">
        <f t="shared" si="81"/>
        <v>482509.98785568809</v>
      </c>
      <c r="AQ136" s="66">
        <f t="shared" si="82"/>
        <v>167960.51686850877</v>
      </c>
      <c r="AR136" s="66">
        <f t="shared" si="83"/>
        <v>1564.849536042007</v>
      </c>
      <c r="AS136" s="66">
        <f t="shared" si="84"/>
        <v>39121.238401050177</v>
      </c>
      <c r="AT136" s="66"/>
      <c r="AU136" s="4"/>
      <c r="AV136" s="4"/>
      <c r="AW136" s="4"/>
      <c r="AX136" s="4"/>
      <c r="AY136" s="4"/>
      <c r="AZ136" s="4"/>
      <c r="BA136" s="4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9">
        <f t="shared" si="68"/>
        <v>1000973.792661289</v>
      </c>
      <c r="BN136" s="9">
        <f t="shared" ref="BN136:BN199" si="97">Y136+AE136+AI136+AL136+AM136+AN136+AO136+AP136+AQ136+AU136+AV136+AW136+AY136+AZ136+BA136+BB136+BE136+BF136+BG136+BI136+Z136+AA136+BC136</f>
        <v>773947.29639180691</v>
      </c>
      <c r="BO136" s="9">
        <f t="shared" si="85"/>
        <v>225175.9885840202</v>
      </c>
      <c r="BP136" s="9">
        <f t="shared" si="86"/>
        <v>1850.507685462007</v>
      </c>
      <c r="BQ136" s="10">
        <f t="shared" si="87"/>
        <v>0</v>
      </c>
      <c r="BR136" s="9">
        <f t="shared" si="88"/>
        <v>1000973.7926612891</v>
      </c>
      <c r="BS136" s="142">
        <f t="shared" ref="BS136:BS199" si="98">Y136+Z136+AA136+AE136+AO136+AP136+AQ136+AT136+AU136+AV136+AW136</f>
        <v>650470.50472419686</v>
      </c>
      <c r="BT136" s="83">
        <f t="shared" si="89"/>
        <v>650471</v>
      </c>
      <c r="BU136" s="175">
        <f t="shared" si="90"/>
        <v>6.351347354413223E-4</v>
      </c>
      <c r="BV136" s="173">
        <f t="shared" si="91"/>
        <v>156484.86000000002</v>
      </c>
      <c r="BW136" s="176">
        <f t="shared" si="92"/>
        <v>9.1235787582521545E-4</v>
      </c>
      <c r="BX136" s="177">
        <f t="shared" si="93"/>
        <v>0</v>
      </c>
      <c r="BY136" s="178">
        <f t="shared" si="94"/>
        <v>0</v>
      </c>
      <c r="BZ136" s="4"/>
      <c r="CA136" s="4"/>
      <c r="CB136" s="4"/>
      <c r="CC136" s="4"/>
      <c r="CD136" s="4"/>
      <c r="CE136" s="4"/>
      <c r="CF136" s="4"/>
      <c r="CG136" s="126">
        <f t="shared" si="95"/>
        <v>561618.55517760001</v>
      </c>
      <c r="CH136" s="126">
        <f t="shared" si="96"/>
        <v>231308.80482239998</v>
      </c>
      <c r="CI136" s="126"/>
      <c r="CJ136" s="126"/>
      <c r="CK136" s="9"/>
      <c r="CL136" s="9"/>
      <c r="CM136" s="127"/>
      <c r="CN136" s="9"/>
      <c r="CO136" s="9"/>
      <c r="CP136" s="9"/>
      <c r="CQ136" s="126"/>
      <c r="CR136" s="126"/>
      <c r="CS136" s="126"/>
      <c r="CT136" s="126"/>
      <c r="CU136" s="126"/>
      <c r="CV136" s="9"/>
      <c r="CW136" s="9"/>
      <c r="CX136" s="127"/>
      <c r="CY136" s="67"/>
      <c r="CZ136" s="67"/>
    </row>
    <row r="137" spans="1:104" x14ac:dyDescent="0.35">
      <c r="A137" s="143">
        <v>144</v>
      </c>
      <c r="B137" s="116" t="s">
        <v>585</v>
      </c>
      <c r="C137" s="144">
        <v>3835031.7386231041</v>
      </c>
      <c r="D137" s="144">
        <v>369388.01</v>
      </c>
      <c r="E137" s="144">
        <v>123605.32</v>
      </c>
      <c r="F137" s="145">
        <f t="shared" si="69"/>
        <v>492993.33</v>
      </c>
      <c r="G137" s="144"/>
      <c r="H137" s="144"/>
      <c r="I137" s="145"/>
      <c r="J137" s="144">
        <v>73588.820000000007</v>
      </c>
      <c r="K137" s="144">
        <v>26371.88</v>
      </c>
      <c r="L137" s="145">
        <f t="shared" si="70"/>
        <v>99960.700000000012</v>
      </c>
      <c r="M137" s="146">
        <v>67724.5</v>
      </c>
      <c r="N137" s="146">
        <v>13281.28</v>
      </c>
      <c r="O137" s="145">
        <f t="shared" si="71"/>
        <v>81005.78</v>
      </c>
      <c r="P137" s="144">
        <v>420518.16</v>
      </c>
      <c r="Q137" s="144">
        <v>82466.240000000005</v>
      </c>
      <c r="R137" s="147">
        <f t="shared" si="72"/>
        <v>502984.39999999997</v>
      </c>
      <c r="S137" s="117">
        <v>0</v>
      </c>
      <c r="T137" s="117">
        <v>0</v>
      </c>
      <c r="U137" s="146">
        <v>0</v>
      </c>
      <c r="V137" s="146">
        <v>0</v>
      </c>
      <c r="W137" s="4"/>
      <c r="X137" s="4"/>
      <c r="Y137" s="4"/>
      <c r="Z137" s="4"/>
      <c r="AA137" s="4"/>
      <c r="AB137" s="4"/>
      <c r="AC137" s="4"/>
      <c r="AD137" s="4"/>
      <c r="AE137" s="4"/>
      <c r="AF137" s="118">
        <f t="shared" si="73"/>
        <v>99960.700000000012</v>
      </c>
      <c r="AG137" s="112">
        <f t="shared" si="73"/>
        <v>67724.5</v>
      </c>
      <c r="AH137" s="112">
        <f t="shared" si="73"/>
        <v>13281.28</v>
      </c>
      <c r="AI137" s="10">
        <f t="shared" si="74"/>
        <v>46621.454253600001</v>
      </c>
      <c r="AJ137" s="10">
        <f t="shared" si="75"/>
        <v>18037.278336620002</v>
      </c>
      <c r="AK137" s="10">
        <f t="shared" si="76"/>
        <v>150.91376814</v>
      </c>
      <c r="AL137" s="10">
        <f t="shared" si="77"/>
        <v>16196.133641640001</v>
      </c>
      <c r="AM137" s="10">
        <f t="shared" si="78"/>
        <v>0</v>
      </c>
      <c r="AN137" s="9">
        <f t="shared" si="79"/>
        <v>0</v>
      </c>
      <c r="AO137" s="10">
        <f t="shared" si="80"/>
        <v>0</v>
      </c>
      <c r="AP137" s="66">
        <f t="shared" si="81"/>
        <v>312173.59745102294</v>
      </c>
      <c r="AQ137" s="66">
        <f t="shared" si="82"/>
        <v>107291.92430366395</v>
      </c>
      <c r="AR137" s="66">
        <f t="shared" si="83"/>
        <v>999.61420158693113</v>
      </c>
      <c r="AS137" s="66">
        <f t="shared" si="84"/>
        <v>24990.355039673279</v>
      </c>
      <c r="AT137" s="66"/>
      <c r="AU137" s="4"/>
      <c r="AV137" s="4"/>
      <c r="AW137" s="4"/>
      <c r="AX137" s="4"/>
      <c r="AY137" s="4"/>
      <c r="AZ137" s="4"/>
      <c r="BA137" s="4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9">
        <f t="shared" si="68"/>
        <v>626421.97099594725</v>
      </c>
      <c r="BN137" s="9">
        <f t="shared" si="97"/>
        <v>482283.10964992689</v>
      </c>
      <c r="BO137" s="9">
        <f t="shared" si="85"/>
        <v>142988.3333762933</v>
      </c>
      <c r="BP137" s="9">
        <f t="shared" si="86"/>
        <v>1150.5279697269311</v>
      </c>
      <c r="BQ137" s="10">
        <f t="shared" si="87"/>
        <v>0</v>
      </c>
      <c r="BR137" s="9">
        <f t="shared" si="88"/>
        <v>626421.97099594714</v>
      </c>
      <c r="BS137" s="142">
        <f t="shared" si="98"/>
        <v>419465.5217546869</v>
      </c>
      <c r="BT137" s="83">
        <f t="shared" si="89"/>
        <v>419466</v>
      </c>
      <c r="BU137" s="175">
        <f t="shared" si="90"/>
        <v>4.0957602420325212E-4</v>
      </c>
      <c r="BV137" s="173">
        <f t="shared" si="91"/>
        <v>99960.700000000012</v>
      </c>
      <c r="BW137" s="176">
        <f t="shared" si="92"/>
        <v>5.8280354992809916E-4</v>
      </c>
      <c r="BX137" s="177">
        <f t="shared" si="93"/>
        <v>0</v>
      </c>
      <c r="BY137" s="178">
        <f t="shared" si="94"/>
        <v>0</v>
      </c>
      <c r="BZ137" s="4"/>
      <c r="CA137" s="4"/>
      <c r="CB137" s="4"/>
      <c r="CC137" s="4"/>
      <c r="CD137" s="4"/>
      <c r="CE137" s="4"/>
      <c r="CF137" s="4"/>
      <c r="CG137" s="126">
        <f t="shared" si="95"/>
        <v>349179.78073905001</v>
      </c>
      <c r="CH137" s="126">
        <f t="shared" si="96"/>
        <v>143813.54926095001</v>
      </c>
      <c r="CI137" s="126"/>
      <c r="CJ137" s="126"/>
      <c r="CK137" s="9"/>
      <c r="CL137" s="9"/>
      <c r="CM137" s="127"/>
      <c r="CN137" s="9"/>
      <c r="CO137" s="9"/>
      <c r="CP137" s="9"/>
      <c r="CQ137" s="126"/>
      <c r="CR137" s="126"/>
      <c r="CS137" s="126"/>
      <c r="CT137" s="126"/>
      <c r="CU137" s="126"/>
      <c r="CV137" s="9"/>
      <c r="CW137" s="9"/>
      <c r="CX137" s="127"/>
      <c r="CY137" s="67"/>
      <c r="CZ137" s="67"/>
    </row>
    <row r="138" spans="1:104" x14ac:dyDescent="0.35">
      <c r="A138" s="143">
        <v>147</v>
      </c>
      <c r="B138" s="116" t="s">
        <v>586</v>
      </c>
      <c r="C138" s="144">
        <v>1795481.4469078181</v>
      </c>
      <c r="D138" s="144">
        <v>141133.5</v>
      </c>
      <c r="E138" s="144">
        <v>89675.64</v>
      </c>
      <c r="F138" s="145">
        <f t="shared" si="69"/>
        <v>230809.14</v>
      </c>
      <c r="G138" s="144"/>
      <c r="H138" s="144"/>
      <c r="I138" s="145"/>
      <c r="J138" s="144">
        <v>29170.43</v>
      </c>
      <c r="K138" s="144">
        <v>19509.97</v>
      </c>
      <c r="L138" s="145">
        <f t="shared" si="70"/>
        <v>48680.4</v>
      </c>
      <c r="M138" s="146">
        <v>20217.580000000002</v>
      </c>
      <c r="N138" s="146">
        <v>7614.32</v>
      </c>
      <c r="O138" s="145">
        <f t="shared" si="71"/>
        <v>27831.9</v>
      </c>
      <c r="P138" s="144">
        <v>125536.25</v>
      </c>
      <c r="Q138" s="144">
        <v>47279.28</v>
      </c>
      <c r="R138" s="147">
        <f t="shared" si="72"/>
        <v>172815.53</v>
      </c>
      <c r="S138" s="117">
        <v>0</v>
      </c>
      <c r="T138" s="117">
        <v>0</v>
      </c>
      <c r="U138" s="146">
        <v>0</v>
      </c>
      <c r="V138" s="146">
        <v>0</v>
      </c>
      <c r="W138" s="4"/>
      <c r="X138" s="4"/>
      <c r="Y138" s="4"/>
      <c r="Z138" s="4"/>
      <c r="AA138" s="4"/>
      <c r="AB138" s="4"/>
      <c r="AC138" s="4"/>
      <c r="AD138" s="4"/>
      <c r="AE138" s="4"/>
      <c r="AF138" s="118">
        <f t="shared" si="73"/>
        <v>48680.4</v>
      </c>
      <c r="AG138" s="112">
        <f t="shared" si="73"/>
        <v>20217.580000000002</v>
      </c>
      <c r="AH138" s="112">
        <f t="shared" si="73"/>
        <v>7614.32</v>
      </c>
      <c r="AI138" s="10">
        <f t="shared" si="74"/>
        <v>16207.616300559999</v>
      </c>
      <c r="AJ138" s="10">
        <f t="shared" si="75"/>
        <v>6007.7784475400003</v>
      </c>
      <c r="AK138" s="10">
        <f t="shared" si="76"/>
        <v>51.850829700000006</v>
      </c>
      <c r="AL138" s="10">
        <f t="shared" si="77"/>
        <v>5564.6544222000002</v>
      </c>
      <c r="AM138" s="10">
        <f t="shared" si="78"/>
        <v>0</v>
      </c>
      <c r="AN138" s="9">
        <f t="shared" si="79"/>
        <v>0</v>
      </c>
      <c r="AO138" s="10">
        <f t="shared" si="80"/>
        <v>0</v>
      </c>
      <c r="AP138" s="66">
        <f t="shared" si="81"/>
        <v>154246.8735902328</v>
      </c>
      <c r="AQ138" s="66">
        <f t="shared" si="82"/>
        <v>52249.842524431733</v>
      </c>
      <c r="AR138" s="66">
        <f t="shared" si="83"/>
        <v>486.79977507234531</v>
      </c>
      <c r="AS138" s="66">
        <f t="shared" si="84"/>
        <v>12169.994376808634</v>
      </c>
      <c r="AT138" s="66"/>
      <c r="AU138" s="4"/>
      <c r="AV138" s="4"/>
      <c r="AW138" s="4"/>
      <c r="AX138" s="4"/>
      <c r="AY138" s="4"/>
      <c r="AZ138" s="4"/>
      <c r="BA138" s="4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9">
        <f t="shared" si="68"/>
        <v>295665.81026654551</v>
      </c>
      <c r="BN138" s="9">
        <f t="shared" si="97"/>
        <v>228268.98683742454</v>
      </c>
      <c r="BO138" s="9">
        <f t="shared" si="85"/>
        <v>66858.172824348643</v>
      </c>
      <c r="BP138" s="9">
        <f t="shared" si="86"/>
        <v>538.65060477234533</v>
      </c>
      <c r="BQ138" s="10">
        <f t="shared" si="87"/>
        <v>0</v>
      </c>
      <c r="BR138" s="9">
        <f t="shared" si="88"/>
        <v>295665.81026654551</v>
      </c>
      <c r="BS138" s="142">
        <f t="shared" si="98"/>
        <v>206496.71611466454</v>
      </c>
      <c r="BT138" s="83">
        <f t="shared" si="89"/>
        <v>206497</v>
      </c>
      <c r="BU138" s="175">
        <f t="shared" si="90"/>
        <v>2.0162826170665339E-4</v>
      </c>
      <c r="BV138" s="173">
        <f t="shared" si="91"/>
        <v>48680.4</v>
      </c>
      <c r="BW138" s="176">
        <f t="shared" si="92"/>
        <v>2.8382264161735401E-4</v>
      </c>
      <c r="BX138" s="177">
        <f t="shared" si="93"/>
        <v>0</v>
      </c>
      <c r="BY138" s="178">
        <f t="shared" si="94"/>
        <v>0</v>
      </c>
      <c r="BZ138" s="4"/>
      <c r="CA138" s="4"/>
      <c r="CB138" s="4"/>
      <c r="CC138" s="4"/>
      <c r="CD138" s="4"/>
      <c r="CE138" s="4"/>
      <c r="CF138" s="4"/>
      <c r="CG138" s="126">
        <f t="shared" si="95"/>
        <v>163478.6517249</v>
      </c>
      <c r="CH138" s="126">
        <f t="shared" si="96"/>
        <v>67330.488275099997</v>
      </c>
      <c r="CI138" s="126"/>
      <c r="CJ138" s="126"/>
      <c r="CK138" s="9"/>
      <c r="CL138" s="9"/>
      <c r="CM138" s="127"/>
      <c r="CN138" s="9"/>
      <c r="CO138" s="9"/>
      <c r="CP138" s="9"/>
      <c r="CQ138" s="126"/>
      <c r="CR138" s="126"/>
      <c r="CS138" s="126"/>
      <c r="CT138" s="126"/>
      <c r="CU138" s="126"/>
      <c r="CV138" s="9"/>
      <c r="CW138" s="9"/>
      <c r="CX138" s="127"/>
      <c r="CY138" s="67"/>
      <c r="CZ138" s="67"/>
    </row>
    <row r="139" spans="1:104" x14ac:dyDescent="0.35">
      <c r="A139" s="143">
        <v>150</v>
      </c>
      <c r="B139" s="116" t="s">
        <v>587</v>
      </c>
      <c r="C139" s="144">
        <v>12722568.416958382</v>
      </c>
      <c r="D139" s="144">
        <v>1219455.52</v>
      </c>
      <c r="E139" s="144">
        <v>416030.65</v>
      </c>
      <c r="F139" s="145">
        <f t="shared" si="69"/>
        <v>1635486.17</v>
      </c>
      <c r="G139" s="144"/>
      <c r="H139" s="144"/>
      <c r="I139" s="145"/>
      <c r="J139" s="144">
        <v>255542.06</v>
      </c>
      <c r="K139" s="144">
        <v>87296.1</v>
      </c>
      <c r="L139" s="145">
        <f t="shared" si="70"/>
        <v>342838.16000000003</v>
      </c>
      <c r="M139" s="146">
        <v>155924</v>
      </c>
      <c r="N139" s="146">
        <v>52578.57</v>
      </c>
      <c r="O139" s="145">
        <f t="shared" si="71"/>
        <v>208502.57</v>
      </c>
      <c r="P139" s="144">
        <v>968171.44</v>
      </c>
      <c r="Q139" s="144">
        <v>326473.26</v>
      </c>
      <c r="R139" s="147">
        <f t="shared" si="72"/>
        <v>1294644.7</v>
      </c>
      <c r="S139" s="117">
        <v>0</v>
      </c>
      <c r="T139" s="117">
        <v>0</v>
      </c>
      <c r="U139" s="146">
        <v>0</v>
      </c>
      <c r="V139" s="146">
        <v>0</v>
      </c>
      <c r="W139" s="4"/>
      <c r="X139" s="4"/>
      <c r="Y139" s="4"/>
      <c r="Z139" s="4"/>
      <c r="AA139" s="4"/>
      <c r="AB139" s="4"/>
      <c r="AC139" s="4"/>
      <c r="AD139" s="4"/>
      <c r="AE139" s="4"/>
      <c r="AF139" s="118">
        <f t="shared" si="73"/>
        <v>342838.16000000003</v>
      </c>
      <c r="AG139" s="112">
        <f t="shared" si="73"/>
        <v>155924</v>
      </c>
      <c r="AH139" s="112">
        <f t="shared" si="73"/>
        <v>52578.57</v>
      </c>
      <c r="AI139" s="10">
        <f t="shared" si="74"/>
        <v>121142.10610164999</v>
      </c>
      <c r="AJ139" s="10">
        <f t="shared" si="75"/>
        <v>45284.436769779997</v>
      </c>
      <c r="AK139" s="10">
        <f t="shared" si="76"/>
        <v>388.44028791000005</v>
      </c>
      <c r="AL139" s="10">
        <f t="shared" si="77"/>
        <v>41687.586840660006</v>
      </c>
      <c r="AM139" s="10">
        <f t="shared" si="78"/>
        <v>0</v>
      </c>
      <c r="AN139" s="9">
        <f t="shared" si="79"/>
        <v>0</v>
      </c>
      <c r="AO139" s="10">
        <f t="shared" si="80"/>
        <v>0</v>
      </c>
      <c r="AP139" s="66">
        <f t="shared" si="81"/>
        <v>1069611.0551623942</v>
      </c>
      <c r="AQ139" s="66">
        <f t="shared" si="82"/>
        <v>367979.14368605986</v>
      </c>
      <c r="AR139" s="66">
        <f t="shared" si="83"/>
        <v>3428.3771150875141</v>
      </c>
      <c r="AS139" s="66">
        <f t="shared" si="84"/>
        <v>85709.42787718786</v>
      </c>
      <c r="AT139" s="66"/>
      <c r="AU139" s="4"/>
      <c r="AV139" s="4"/>
      <c r="AW139" s="4"/>
      <c r="AX139" s="4"/>
      <c r="AY139" s="4"/>
      <c r="AZ139" s="4"/>
      <c r="BA139" s="4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9">
        <f t="shared" si="68"/>
        <v>2078068.7338407296</v>
      </c>
      <c r="BN139" s="9">
        <f t="shared" si="97"/>
        <v>1600419.8917907639</v>
      </c>
      <c r="BO139" s="9">
        <f t="shared" si="85"/>
        <v>473832.02464696788</v>
      </c>
      <c r="BP139" s="9">
        <f t="shared" si="86"/>
        <v>3816.8174029975144</v>
      </c>
      <c r="BQ139" s="10">
        <f t="shared" si="87"/>
        <v>0</v>
      </c>
      <c r="BR139" s="9">
        <f t="shared" si="88"/>
        <v>2078068.7338407293</v>
      </c>
      <c r="BS139" s="142">
        <f t="shared" si="98"/>
        <v>1437590.198848454</v>
      </c>
      <c r="BT139" s="83">
        <f t="shared" si="89"/>
        <v>1437590</v>
      </c>
      <c r="BU139" s="175">
        <f t="shared" si="90"/>
        <v>1.4036969608726452E-3</v>
      </c>
      <c r="BV139" s="173">
        <f t="shared" si="91"/>
        <v>342838.16000000003</v>
      </c>
      <c r="BW139" s="176">
        <f t="shared" si="92"/>
        <v>1.9988585183859024E-3</v>
      </c>
      <c r="BX139" s="177">
        <f t="shared" si="93"/>
        <v>0</v>
      </c>
      <c r="BY139" s="178">
        <f t="shared" si="94"/>
        <v>0</v>
      </c>
      <c r="BZ139" s="4"/>
      <c r="CA139" s="4"/>
      <c r="CB139" s="4"/>
      <c r="CC139" s="4"/>
      <c r="CD139" s="4"/>
      <c r="CE139" s="4"/>
      <c r="CF139" s="4"/>
      <c r="CG139" s="126">
        <f t="shared" si="95"/>
        <v>1158390.3219184501</v>
      </c>
      <c r="CH139" s="126">
        <f t="shared" si="96"/>
        <v>477095.84808155004</v>
      </c>
      <c r="CI139" s="126"/>
      <c r="CJ139" s="126"/>
      <c r="CK139" s="9"/>
      <c r="CL139" s="9"/>
      <c r="CM139" s="127"/>
      <c r="CN139" s="9"/>
      <c r="CO139" s="9"/>
      <c r="CP139" s="9"/>
      <c r="CQ139" s="126"/>
      <c r="CR139" s="126"/>
      <c r="CS139" s="126"/>
      <c r="CT139" s="126"/>
      <c r="CU139" s="126"/>
      <c r="CV139" s="9"/>
      <c r="CW139" s="9"/>
      <c r="CX139" s="127"/>
      <c r="CY139" s="67"/>
      <c r="CZ139" s="67"/>
    </row>
    <row r="140" spans="1:104" x14ac:dyDescent="0.35">
      <c r="A140" s="143">
        <v>151</v>
      </c>
      <c r="B140" s="116" t="s">
        <v>588</v>
      </c>
      <c r="C140" s="144">
        <v>22401553.014391288</v>
      </c>
      <c r="D140" s="144">
        <v>1504441.65</v>
      </c>
      <c r="E140" s="144">
        <v>1375277.99</v>
      </c>
      <c r="F140" s="145">
        <f t="shared" si="69"/>
        <v>2879719.6399999997</v>
      </c>
      <c r="G140" s="144"/>
      <c r="H140" s="144"/>
      <c r="I140" s="145"/>
      <c r="J140" s="144">
        <v>322908.96999999997</v>
      </c>
      <c r="K140" s="144">
        <v>266461.49</v>
      </c>
      <c r="L140" s="145">
        <f t="shared" si="70"/>
        <v>589370.46</v>
      </c>
      <c r="M140" s="146">
        <v>151322.53</v>
      </c>
      <c r="N140" s="146">
        <v>292523.8</v>
      </c>
      <c r="O140" s="145">
        <f t="shared" si="71"/>
        <v>443846.32999999996</v>
      </c>
      <c r="P140" s="144">
        <v>939596.06</v>
      </c>
      <c r="Q140" s="144">
        <v>1816353.41</v>
      </c>
      <c r="R140" s="147">
        <f t="shared" si="72"/>
        <v>2755949.4699999997</v>
      </c>
      <c r="S140" s="117">
        <v>15679.91</v>
      </c>
      <c r="T140" s="117">
        <v>0</v>
      </c>
      <c r="U140" s="146">
        <v>0</v>
      </c>
      <c r="V140" s="146">
        <v>0</v>
      </c>
      <c r="W140" s="4"/>
      <c r="X140" s="4"/>
      <c r="Y140" s="4"/>
      <c r="Z140" s="4"/>
      <c r="AA140" s="4"/>
      <c r="AB140" s="4"/>
      <c r="AC140" s="4"/>
      <c r="AD140" s="4"/>
      <c r="AE140" s="4"/>
      <c r="AF140" s="118">
        <f t="shared" si="73"/>
        <v>589370.46</v>
      </c>
      <c r="AG140" s="112">
        <f t="shared" si="73"/>
        <v>151322.53</v>
      </c>
      <c r="AH140" s="112">
        <f t="shared" si="73"/>
        <v>292523.8</v>
      </c>
      <c r="AI140" s="10">
        <f t="shared" si="74"/>
        <v>269093.09067155997</v>
      </c>
      <c r="AJ140" s="10">
        <f t="shared" si="75"/>
        <v>85184.606088109984</v>
      </c>
      <c r="AK140" s="10">
        <f t="shared" si="76"/>
        <v>826.88571279000007</v>
      </c>
      <c r="AL140" s="10">
        <f t="shared" si="77"/>
        <v>88741.747527539992</v>
      </c>
      <c r="AM140" s="10">
        <f t="shared" si="78"/>
        <v>15679.91</v>
      </c>
      <c r="AN140" s="9">
        <f t="shared" si="79"/>
        <v>0</v>
      </c>
      <c r="AO140" s="10">
        <f t="shared" si="80"/>
        <v>0</v>
      </c>
      <c r="AP140" s="66">
        <f t="shared" si="81"/>
        <v>1877552.5651551387</v>
      </c>
      <c r="AQ140" s="66">
        <f t="shared" si="82"/>
        <v>632588.43412939948</v>
      </c>
      <c r="AR140" s="66">
        <f t="shared" si="83"/>
        <v>5893.6810633173864</v>
      </c>
      <c r="AS140" s="66">
        <f t="shared" si="84"/>
        <v>147342.02658293466</v>
      </c>
      <c r="AT140" s="66"/>
      <c r="AU140" s="4"/>
      <c r="AV140" s="4"/>
      <c r="AW140" s="4"/>
      <c r="AX140" s="4"/>
      <c r="AY140" s="4"/>
      <c r="AZ140" s="4"/>
      <c r="BA140" s="4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9">
        <f t="shared" si="68"/>
        <v>3712273.4069307894</v>
      </c>
      <c r="BN140" s="9">
        <f t="shared" si="97"/>
        <v>2883655.7474836381</v>
      </c>
      <c r="BO140" s="9">
        <f t="shared" si="85"/>
        <v>821897.09267104464</v>
      </c>
      <c r="BP140" s="9">
        <f t="shared" si="86"/>
        <v>6720.5667761073864</v>
      </c>
      <c r="BQ140" s="10">
        <f t="shared" si="87"/>
        <v>0</v>
      </c>
      <c r="BR140" s="9">
        <f t="shared" si="88"/>
        <v>3712273.4069307903</v>
      </c>
      <c r="BS140" s="142">
        <f t="shared" si="98"/>
        <v>2510140.9992845384</v>
      </c>
      <c r="BT140" s="83">
        <f t="shared" si="89"/>
        <v>2510141</v>
      </c>
      <c r="BU140" s="175">
        <f t="shared" si="90"/>
        <v>2.4509608474514678E-3</v>
      </c>
      <c r="BV140" s="173">
        <f t="shared" si="91"/>
        <v>589370.46</v>
      </c>
      <c r="BW140" s="176">
        <f t="shared" si="92"/>
        <v>3.4362223985101819E-3</v>
      </c>
      <c r="BX140" s="177">
        <f t="shared" si="93"/>
        <v>0</v>
      </c>
      <c r="BY140" s="178">
        <f t="shared" si="94"/>
        <v>0</v>
      </c>
      <c r="BZ140" s="4"/>
      <c r="CA140" s="4"/>
      <c r="CB140" s="4"/>
      <c r="CC140" s="4"/>
      <c r="CD140" s="4"/>
      <c r="CE140" s="4"/>
      <c r="CF140" s="4"/>
      <c r="CG140" s="126">
        <f t="shared" si="95"/>
        <v>2039662.2252174001</v>
      </c>
      <c r="CH140" s="126">
        <f t="shared" si="96"/>
        <v>840057.41478260001</v>
      </c>
      <c r="CI140" s="126"/>
      <c r="CJ140" s="126"/>
      <c r="CK140" s="9"/>
      <c r="CL140" s="9"/>
      <c r="CM140" s="127"/>
      <c r="CN140" s="9"/>
      <c r="CO140" s="9"/>
      <c r="CP140" s="9"/>
      <c r="CQ140" s="126"/>
      <c r="CR140" s="126"/>
      <c r="CS140" s="126"/>
      <c r="CT140" s="126"/>
      <c r="CU140" s="126"/>
      <c r="CV140" s="9"/>
      <c r="CW140" s="9"/>
      <c r="CX140" s="127"/>
      <c r="CY140" s="67"/>
      <c r="CZ140" s="67"/>
    </row>
    <row r="141" spans="1:104" x14ac:dyDescent="0.35">
      <c r="A141" s="143">
        <v>154</v>
      </c>
      <c r="B141" s="116" t="s">
        <v>589</v>
      </c>
      <c r="C141" s="144">
        <v>10562529.288214702</v>
      </c>
      <c r="D141" s="144">
        <v>989093.43</v>
      </c>
      <c r="E141" s="144">
        <v>368719.71</v>
      </c>
      <c r="F141" s="145">
        <f t="shared" si="69"/>
        <v>1357813.1400000001</v>
      </c>
      <c r="G141" s="144"/>
      <c r="H141" s="144"/>
      <c r="I141" s="145"/>
      <c r="J141" s="144">
        <v>215827.16</v>
      </c>
      <c r="K141" s="144">
        <v>84189.93</v>
      </c>
      <c r="L141" s="145">
        <f t="shared" si="70"/>
        <v>300017.08999999997</v>
      </c>
      <c r="M141" s="146">
        <v>80516.37</v>
      </c>
      <c r="N141" s="146">
        <v>9982.7900000000009</v>
      </c>
      <c r="O141" s="145">
        <f t="shared" si="71"/>
        <v>90499.16</v>
      </c>
      <c r="P141" s="144">
        <v>499946.45</v>
      </c>
      <c r="Q141" s="144">
        <v>61985.57</v>
      </c>
      <c r="R141" s="147">
        <f t="shared" si="72"/>
        <v>561932.02</v>
      </c>
      <c r="S141" s="117">
        <v>0</v>
      </c>
      <c r="T141" s="117">
        <v>0</v>
      </c>
      <c r="U141" s="146">
        <v>0</v>
      </c>
      <c r="V141" s="146">
        <v>0</v>
      </c>
      <c r="W141" s="4"/>
      <c r="X141" s="4"/>
      <c r="Y141" s="4"/>
      <c r="Z141" s="4"/>
      <c r="AA141" s="4"/>
      <c r="AB141" s="4"/>
      <c r="AC141" s="4"/>
      <c r="AD141" s="4"/>
      <c r="AE141" s="4"/>
      <c r="AF141" s="118">
        <f t="shared" si="73"/>
        <v>300017.08999999997</v>
      </c>
      <c r="AG141" s="112">
        <f t="shared" si="73"/>
        <v>80516.37</v>
      </c>
      <c r="AH141" s="112">
        <f t="shared" si="73"/>
        <v>9982.7900000000009</v>
      </c>
      <c r="AI141" s="10">
        <f t="shared" si="74"/>
        <v>51783.742483789996</v>
      </c>
      <c r="AJ141" s="10">
        <f t="shared" si="75"/>
        <v>20452.596529049999</v>
      </c>
      <c r="AK141" s="10">
        <f t="shared" si="76"/>
        <v>168.59993508000002</v>
      </c>
      <c r="AL141" s="10">
        <f t="shared" si="77"/>
        <v>18094.22105208</v>
      </c>
      <c r="AM141" s="10">
        <f t="shared" si="78"/>
        <v>0</v>
      </c>
      <c r="AN141" s="9">
        <f t="shared" si="79"/>
        <v>0</v>
      </c>
      <c r="AO141" s="10">
        <f t="shared" si="80"/>
        <v>0</v>
      </c>
      <c r="AP141" s="66">
        <f t="shared" si="81"/>
        <v>938617.50573430932</v>
      </c>
      <c r="AQ141" s="66">
        <f t="shared" si="82"/>
        <v>322019.23203651339</v>
      </c>
      <c r="AR141" s="66">
        <f t="shared" si="83"/>
        <v>3000.1791804644108</v>
      </c>
      <c r="AS141" s="66">
        <f t="shared" si="84"/>
        <v>75004.479511610261</v>
      </c>
      <c r="AT141" s="66"/>
      <c r="AU141" s="4"/>
      <c r="AV141" s="4"/>
      <c r="AW141" s="4"/>
      <c r="AX141" s="4"/>
      <c r="AY141" s="4"/>
      <c r="AZ141" s="4"/>
      <c r="BA141" s="4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9">
        <f t="shared" si="68"/>
        <v>1729157.6464628973</v>
      </c>
      <c r="BN141" s="9">
        <f t="shared" si="97"/>
        <v>1330514.7013066928</v>
      </c>
      <c r="BO141" s="9">
        <f t="shared" si="85"/>
        <v>395474.16604066023</v>
      </c>
      <c r="BP141" s="9">
        <f t="shared" si="86"/>
        <v>3168.7791155444111</v>
      </c>
      <c r="BQ141" s="10">
        <f t="shared" si="87"/>
        <v>0</v>
      </c>
      <c r="BR141" s="9">
        <f t="shared" si="88"/>
        <v>1729157.6464628975</v>
      </c>
      <c r="BS141" s="142">
        <f t="shared" si="98"/>
        <v>1260636.7377708228</v>
      </c>
      <c r="BT141" s="83">
        <f t="shared" si="89"/>
        <v>1260637</v>
      </c>
      <c r="BU141" s="175">
        <f t="shared" si="90"/>
        <v>1.2309154298566904E-3</v>
      </c>
      <c r="BV141" s="173">
        <f t="shared" si="91"/>
        <v>300017.08999999997</v>
      </c>
      <c r="BW141" s="176">
        <f t="shared" si="92"/>
        <v>1.7491976856014214E-3</v>
      </c>
      <c r="BX141" s="177">
        <f t="shared" si="93"/>
        <v>0</v>
      </c>
      <c r="BY141" s="178">
        <f t="shared" si="94"/>
        <v>0</v>
      </c>
      <c r="BZ141" s="4"/>
      <c r="CA141" s="4"/>
      <c r="CB141" s="4"/>
      <c r="CC141" s="4"/>
      <c r="CD141" s="4"/>
      <c r="CE141" s="4"/>
      <c r="CF141" s="4"/>
      <c r="CG141" s="126">
        <f t="shared" si="95"/>
        <v>961718.67986490019</v>
      </c>
      <c r="CH141" s="126">
        <f t="shared" si="96"/>
        <v>396094.46013510006</v>
      </c>
      <c r="CI141" s="126"/>
      <c r="CJ141" s="126"/>
      <c r="CK141" s="9"/>
      <c r="CL141" s="9"/>
      <c r="CM141" s="127"/>
      <c r="CN141" s="9"/>
      <c r="CO141" s="9"/>
      <c r="CP141" s="9"/>
      <c r="CQ141" s="126"/>
      <c r="CR141" s="126"/>
      <c r="CS141" s="126"/>
      <c r="CT141" s="126"/>
      <c r="CU141" s="126"/>
      <c r="CV141" s="9"/>
      <c r="CW141" s="9"/>
      <c r="CX141" s="127"/>
      <c r="CY141" s="67"/>
      <c r="CZ141" s="67"/>
    </row>
    <row r="142" spans="1:104" x14ac:dyDescent="0.35">
      <c r="A142" s="143">
        <v>155</v>
      </c>
      <c r="B142" s="116" t="s">
        <v>590</v>
      </c>
      <c r="C142" s="144">
        <v>2720153.2477635164</v>
      </c>
      <c r="D142" s="144">
        <v>260010.01</v>
      </c>
      <c r="E142" s="144">
        <v>89665.69</v>
      </c>
      <c r="F142" s="145">
        <f t="shared" si="69"/>
        <v>349675.7</v>
      </c>
      <c r="G142" s="144"/>
      <c r="H142" s="144"/>
      <c r="I142" s="145"/>
      <c r="J142" s="144">
        <v>57297.57</v>
      </c>
      <c r="K142" s="144">
        <v>20880.490000000002</v>
      </c>
      <c r="L142" s="145">
        <f t="shared" si="70"/>
        <v>78178.06</v>
      </c>
      <c r="M142" s="146">
        <v>18154.13</v>
      </c>
      <c r="N142" s="146">
        <v>241.79</v>
      </c>
      <c r="O142" s="145">
        <f t="shared" si="71"/>
        <v>18395.920000000002</v>
      </c>
      <c r="P142" s="144">
        <v>112723.17</v>
      </c>
      <c r="Q142" s="144">
        <v>1501</v>
      </c>
      <c r="R142" s="147">
        <f t="shared" si="72"/>
        <v>114224.17</v>
      </c>
      <c r="S142" s="117">
        <v>0</v>
      </c>
      <c r="T142" s="117">
        <v>0</v>
      </c>
      <c r="U142" s="146">
        <v>0</v>
      </c>
      <c r="V142" s="146">
        <v>0</v>
      </c>
      <c r="W142" s="4"/>
      <c r="X142" s="4"/>
      <c r="Y142" s="4"/>
      <c r="Z142" s="4"/>
      <c r="AA142" s="4"/>
      <c r="AB142" s="4"/>
      <c r="AC142" s="4"/>
      <c r="AD142" s="4"/>
      <c r="AE142" s="4"/>
      <c r="AF142" s="118">
        <f t="shared" si="73"/>
        <v>78178.06</v>
      </c>
      <c r="AG142" s="112">
        <f t="shared" si="73"/>
        <v>18154.13</v>
      </c>
      <c r="AH142" s="112">
        <f t="shared" si="73"/>
        <v>241.79</v>
      </c>
      <c r="AI142" s="10">
        <f t="shared" si="74"/>
        <v>10415.183630310001</v>
      </c>
      <c r="AJ142" s="10">
        <f t="shared" si="75"/>
        <v>4268.4213177700003</v>
      </c>
      <c r="AK142" s="10">
        <f t="shared" si="76"/>
        <v>34.271598960000006</v>
      </c>
      <c r="AL142" s="10">
        <f t="shared" si="77"/>
        <v>3678.0434529600002</v>
      </c>
      <c r="AM142" s="10">
        <f t="shared" si="78"/>
        <v>0</v>
      </c>
      <c r="AN142" s="9">
        <f t="shared" si="79"/>
        <v>0</v>
      </c>
      <c r="AO142" s="10">
        <f t="shared" si="80"/>
        <v>0</v>
      </c>
      <c r="AP142" s="66">
        <f t="shared" si="81"/>
        <v>244229.99316825229</v>
      </c>
      <c r="AQ142" s="66">
        <f t="shared" si="82"/>
        <v>83910.916303985228</v>
      </c>
      <c r="AR142" s="66">
        <f t="shared" si="83"/>
        <v>781.77872332905486</v>
      </c>
      <c r="AS142" s="66">
        <f t="shared" si="84"/>
        <v>19544.468083226373</v>
      </c>
      <c r="AT142" s="66"/>
      <c r="AU142" s="4"/>
      <c r="AV142" s="4"/>
      <c r="AW142" s="4"/>
      <c r="AX142" s="4"/>
      <c r="AY142" s="4"/>
      <c r="AZ142" s="4"/>
      <c r="BA142" s="4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9">
        <f t="shared" si="68"/>
        <v>445041.13627879292</v>
      </c>
      <c r="BN142" s="9">
        <f t="shared" si="97"/>
        <v>342234.13655550755</v>
      </c>
      <c r="BO142" s="9">
        <f t="shared" si="85"/>
        <v>101990.94940099637</v>
      </c>
      <c r="BP142" s="9">
        <f t="shared" si="86"/>
        <v>816.05032228905486</v>
      </c>
      <c r="BQ142" s="10">
        <f t="shared" si="87"/>
        <v>0</v>
      </c>
      <c r="BR142" s="9">
        <f t="shared" si="88"/>
        <v>445041.13627879298</v>
      </c>
      <c r="BS142" s="142">
        <f t="shared" si="98"/>
        <v>328140.90947223752</v>
      </c>
      <c r="BT142" s="83">
        <f t="shared" si="89"/>
        <v>328141</v>
      </c>
      <c r="BU142" s="175">
        <f t="shared" si="90"/>
        <v>3.2040451982291344E-4</v>
      </c>
      <c r="BV142" s="173">
        <f t="shared" si="91"/>
        <v>78178.06</v>
      </c>
      <c r="BW142" s="176">
        <f t="shared" si="92"/>
        <v>4.5580363977535098E-4</v>
      </c>
      <c r="BX142" s="177">
        <f t="shared" si="93"/>
        <v>0</v>
      </c>
      <c r="BY142" s="178">
        <f t="shared" si="94"/>
        <v>0</v>
      </c>
      <c r="BZ142" s="4"/>
      <c r="CA142" s="4"/>
      <c r="CB142" s="4"/>
      <c r="CC142" s="4"/>
      <c r="CD142" s="4"/>
      <c r="CE142" s="4"/>
      <c r="CF142" s="4"/>
      <c r="CG142" s="126">
        <f t="shared" si="95"/>
        <v>247670.0531745</v>
      </c>
      <c r="CH142" s="126">
        <f t="shared" si="96"/>
        <v>102005.64682550001</v>
      </c>
      <c r="CI142" s="126"/>
      <c r="CJ142" s="126"/>
      <c r="CK142" s="9"/>
      <c r="CL142" s="9"/>
      <c r="CM142" s="127"/>
      <c r="CN142" s="9"/>
      <c r="CO142" s="9"/>
      <c r="CP142" s="9"/>
      <c r="CQ142" s="126"/>
      <c r="CR142" s="126"/>
      <c r="CS142" s="126"/>
      <c r="CT142" s="126"/>
      <c r="CU142" s="126"/>
      <c r="CV142" s="9"/>
      <c r="CW142" s="9"/>
      <c r="CX142" s="127"/>
      <c r="CY142" s="67"/>
      <c r="CZ142" s="67"/>
    </row>
    <row r="143" spans="1:104" x14ac:dyDescent="0.35">
      <c r="A143" s="143">
        <v>156</v>
      </c>
      <c r="B143" s="116" t="s">
        <v>591</v>
      </c>
      <c r="C143" s="144">
        <v>4663126.4099572152</v>
      </c>
      <c r="D143" s="144">
        <v>373414.17</v>
      </c>
      <c r="E143" s="144">
        <v>226030.73</v>
      </c>
      <c r="F143" s="145">
        <f t="shared" si="69"/>
        <v>599444.9</v>
      </c>
      <c r="G143" s="144"/>
      <c r="H143" s="144"/>
      <c r="I143" s="145"/>
      <c r="J143" s="144">
        <v>75270.559999999998</v>
      </c>
      <c r="K143" s="144">
        <v>47774.84</v>
      </c>
      <c r="L143" s="145">
        <f t="shared" si="70"/>
        <v>123045.4</v>
      </c>
      <c r="M143" s="146">
        <v>63742.41</v>
      </c>
      <c r="N143" s="146">
        <v>26710.05</v>
      </c>
      <c r="O143" s="145">
        <f t="shared" si="71"/>
        <v>90452.46</v>
      </c>
      <c r="P143" s="144">
        <v>395788.64</v>
      </c>
      <c r="Q143" s="144">
        <v>165848.18</v>
      </c>
      <c r="R143" s="147">
        <f t="shared" si="72"/>
        <v>561636.82000000007</v>
      </c>
      <c r="S143" s="117">
        <v>0</v>
      </c>
      <c r="T143" s="117">
        <v>0</v>
      </c>
      <c r="U143" s="146">
        <v>0</v>
      </c>
      <c r="V143" s="146">
        <v>7973.52</v>
      </c>
      <c r="W143" s="4"/>
      <c r="X143" s="4"/>
      <c r="Y143" s="4"/>
      <c r="Z143" s="4"/>
      <c r="AA143" s="4"/>
      <c r="AB143" s="4"/>
      <c r="AC143" s="4"/>
      <c r="AD143" s="4"/>
      <c r="AE143" s="4"/>
      <c r="AF143" s="118">
        <f t="shared" si="73"/>
        <v>123045.4</v>
      </c>
      <c r="AG143" s="112">
        <f t="shared" si="73"/>
        <v>63742.41</v>
      </c>
      <c r="AH143" s="112">
        <f t="shared" si="73"/>
        <v>26710.05</v>
      </c>
      <c r="AI143" s="10">
        <f t="shared" si="74"/>
        <v>52795.986300570003</v>
      </c>
      <c r="AJ143" s="10">
        <f t="shared" si="75"/>
        <v>19403.076818970003</v>
      </c>
      <c r="AK143" s="10">
        <f t="shared" si="76"/>
        <v>168.51293298000002</v>
      </c>
      <c r="AL143" s="10">
        <f t="shared" si="77"/>
        <v>18084.883947480001</v>
      </c>
      <c r="AM143" s="10">
        <f t="shared" si="78"/>
        <v>0</v>
      </c>
      <c r="AN143" s="9">
        <f t="shared" si="79"/>
        <v>0</v>
      </c>
      <c r="AO143" s="10">
        <f t="shared" si="80"/>
        <v>0</v>
      </c>
      <c r="AP143" s="66">
        <f t="shared" si="81"/>
        <v>389365.24377089425</v>
      </c>
      <c r="AQ143" s="66">
        <f t="shared" si="82"/>
        <v>132067.96479662234</v>
      </c>
      <c r="AR143" s="66">
        <f t="shared" si="83"/>
        <v>1230.4468769871644</v>
      </c>
      <c r="AS143" s="66">
        <f t="shared" si="84"/>
        <v>30761.171924679111</v>
      </c>
      <c r="AT143" s="66"/>
      <c r="AU143" s="4"/>
      <c r="AV143" s="4"/>
      <c r="AW143" s="4"/>
      <c r="AX143" s="4"/>
      <c r="AY143" s="4"/>
      <c r="AZ143" s="4"/>
      <c r="BA143" s="4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9">
        <f t="shared" si="68"/>
        <v>766922.68736918282</v>
      </c>
      <c r="BN143" s="9">
        <f t="shared" si="97"/>
        <v>592314.07881556661</v>
      </c>
      <c r="BO143" s="9">
        <f t="shared" si="85"/>
        <v>173209.6487436491</v>
      </c>
      <c r="BP143" s="9">
        <f t="shared" si="86"/>
        <v>1398.9598099671643</v>
      </c>
      <c r="BQ143" s="10">
        <f t="shared" si="87"/>
        <v>0</v>
      </c>
      <c r="BR143" s="9">
        <f t="shared" si="88"/>
        <v>766922.68736918294</v>
      </c>
      <c r="BS143" s="142">
        <f t="shared" si="98"/>
        <v>521433.20856751659</v>
      </c>
      <c r="BT143" s="83">
        <f t="shared" si="89"/>
        <v>521433</v>
      </c>
      <c r="BU143" s="175">
        <f t="shared" si="90"/>
        <v>5.0913967746204233E-4</v>
      </c>
      <c r="BV143" s="173">
        <f t="shared" si="91"/>
        <v>123045.4</v>
      </c>
      <c r="BW143" s="176">
        <f t="shared" si="92"/>
        <v>7.1739489541712824E-4</v>
      </c>
      <c r="BX143" s="177">
        <f t="shared" si="93"/>
        <v>0</v>
      </c>
      <c r="BY143" s="178">
        <f t="shared" si="94"/>
        <v>0</v>
      </c>
      <c r="BZ143" s="4"/>
      <c r="CA143" s="4"/>
      <c r="CB143" s="4"/>
      <c r="CC143" s="4"/>
      <c r="CD143" s="4"/>
      <c r="CE143" s="4"/>
      <c r="CF143" s="4"/>
      <c r="CG143" s="126">
        <f t="shared" si="95"/>
        <v>424577.8309965001</v>
      </c>
      <c r="CH143" s="126">
        <f t="shared" si="96"/>
        <v>174867.06900349999</v>
      </c>
      <c r="CI143" s="126"/>
      <c r="CJ143" s="126"/>
      <c r="CK143" s="9"/>
      <c r="CL143" s="9"/>
      <c r="CM143" s="127"/>
      <c r="CN143" s="9"/>
      <c r="CO143" s="9"/>
      <c r="CP143" s="9"/>
      <c r="CQ143" s="126"/>
      <c r="CR143" s="126"/>
      <c r="CS143" s="126"/>
      <c r="CT143" s="126"/>
      <c r="CU143" s="126"/>
      <c r="CV143" s="9"/>
      <c r="CW143" s="9"/>
      <c r="CX143" s="127"/>
      <c r="CY143" s="67"/>
      <c r="CZ143" s="67"/>
    </row>
    <row r="144" spans="1:104" x14ac:dyDescent="0.35">
      <c r="A144" s="143">
        <v>158</v>
      </c>
      <c r="B144" s="116" t="s">
        <v>592</v>
      </c>
      <c r="C144" s="144">
        <v>2174618.5919875535</v>
      </c>
      <c r="D144" s="144">
        <v>233066.87</v>
      </c>
      <c r="E144" s="144">
        <v>46480.35</v>
      </c>
      <c r="F144" s="145">
        <f t="shared" si="69"/>
        <v>279547.21999999997</v>
      </c>
      <c r="G144" s="144"/>
      <c r="H144" s="144"/>
      <c r="I144" s="145"/>
      <c r="J144" s="144">
        <v>49510.55</v>
      </c>
      <c r="K144" s="144">
        <v>10589.37</v>
      </c>
      <c r="L144" s="145">
        <f t="shared" si="70"/>
        <v>60099.920000000006</v>
      </c>
      <c r="M144" s="146">
        <v>26203.33</v>
      </c>
      <c r="N144" s="146">
        <v>1385.03</v>
      </c>
      <c r="O144" s="145">
        <f t="shared" si="71"/>
        <v>27588.36</v>
      </c>
      <c r="P144" s="144">
        <v>162703.16</v>
      </c>
      <c r="Q144" s="144">
        <v>8600</v>
      </c>
      <c r="R144" s="147">
        <f t="shared" si="72"/>
        <v>171303.16</v>
      </c>
      <c r="S144" s="117">
        <v>0</v>
      </c>
      <c r="T144" s="117">
        <v>0</v>
      </c>
      <c r="U144" s="146">
        <v>0</v>
      </c>
      <c r="V144" s="146">
        <v>0</v>
      </c>
      <c r="W144" s="4"/>
      <c r="X144" s="4"/>
      <c r="Y144" s="4"/>
      <c r="Z144" s="4"/>
      <c r="AA144" s="4"/>
      <c r="AB144" s="4"/>
      <c r="AC144" s="4"/>
      <c r="AD144" s="4"/>
      <c r="AE144" s="4"/>
      <c r="AF144" s="118">
        <f t="shared" si="73"/>
        <v>60099.920000000006</v>
      </c>
      <c r="AG144" s="112">
        <f t="shared" si="73"/>
        <v>26203.33</v>
      </c>
      <c r="AH144" s="112">
        <f t="shared" si="73"/>
        <v>1385.03</v>
      </c>
      <c r="AI144" s="10">
        <f t="shared" si="74"/>
        <v>15683.135170510001</v>
      </c>
      <c r="AJ144" s="10">
        <f t="shared" si="75"/>
        <v>6337.8661931300003</v>
      </c>
      <c r="AK144" s="10">
        <f t="shared" si="76"/>
        <v>51.397114680000008</v>
      </c>
      <c r="AL144" s="10">
        <f t="shared" si="77"/>
        <v>5515.9615216800003</v>
      </c>
      <c r="AM144" s="10">
        <f t="shared" si="78"/>
        <v>0</v>
      </c>
      <c r="AN144" s="9">
        <f t="shared" si="79"/>
        <v>0</v>
      </c>
      <c r="AO144" s="10">
        <f t="shared" si="80"/>
        <v>0</v>
      </c>
      <c r="AP144" s="66">
        <f t="shared" si="81"/>
        <v>185931.61103929288</v>
      </c>
      <c r="AQ144" s="66">
        <f t="shared" si="82"/>
        <v>64506.756909999225</v>
      </c>
      <c r="AR144" s="66">
        <f t="shared" si="83"/>
        <v>600.99462959626601</v>
      </c>
      <c r="AS144" s="66">
        <f t="shared" si="84"/>
        <v>15024.865739906652</v>
      </c>
      <c r="AT144" s="66"/>
      <c r="AU144" s="4"/>
      <c r="AV144" s="4"/>
      <c r="AW144" s="4"/>
      <c r="AX144" s="4"/>
      <c r="AY144" s="4"/>
      <c r="AZ144" s="4"/>
      <c r="BA144" s="4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9">
        <f t="shared" si="68"/>
        <v>353752.50831879501</v>
      </c>
      <c r="BN144" s="9">
        <f t="shared" si="97"/>
        <v>271637.4646414821</v>
      </c>
      <c r="BO144" s="9">
        <f t="shared" si="85"/>
        <v>81462.651933036657</v>
      </c>
      <c r="BP144" s="9">
        <f t="shared" si="86"/>
        <v>652.39174427626597</v>
      </c>
      <c r="BQ144" s="10">
        <f t="shared" si="87"/>
        <v>0</v>
      </c>
      <c r="BR144" s="9">
        <f t="shared" si="88"/>
        <v>353752.50831879501</v>
      </c>
      <c r="BS144" s="142">
        <f t="shared" si="98"/>
        <v>250438.36794929212</v>
      </c>
      <c r="BT144" s="83">
        <f t="shared" si="89"/>
        <v>250438</v>
      </c>
      <c r="BU144" s="175">
        <f t="shared" si="90"/>
        <v>2.4453392646800091E-4</v>
      </c>
      <c r="BV144" s="173">
        <f t="shared" si="91"/>
        <v>60099.920000000006</v>
      </c>
      <c r="BW144" s="176">
        <f t="shared" si="92"/>
        <v>3.5040217531884796E-4</v>
      </c>
      <c r="BX144" s="177">
        <f t="shared" si="93"/>
        <v>0</v>
      </c>
      <c r="BY144" s="178">
        <f t="shared" si="94"/>
        <v>0</v>
      </c>
      <c r="BZ144" s="4"/>
      <c r="CA144" s="4"/>
      <c r="CB144" s="4"/>
      <c r="CC144" s="4"/>
      <c r="CD144" s="4"/>
      <c r="CE144" s="4"/>
      <c r="CF144" s="4"/>
      <c r="CG144" s="126">
        <f t="shared" si="95"/>
        <v>197999.10271770001</v>
      </c>
      <c r="CH144" s="126">
        <f t="shared" si="96"/>
        <v>81548.117282299994</v>
      </c>
      <c r="CI144" s="126"/>
      <c r="CJ144" s="126"/>
      <c r="CK144" s="9"/>
      <c r="CL144" s="9"/>
      <c r="CM144" s="127"/>
      <c r="CN144" s="9"/>
      <c r="CO144" s="9"/>
      <c r="CP144" s="9"/>
      <c r="CQ144" s="126"/>
      <c r="CR144" s="126"/>
      <c r="CS144" s="126"/>
      <c r="CT144" s="126"/>
      <c r="CU144" s="126"/>
      <c r="CV144" s="9"/>
      <c r="CW144" s="9"/>
      <c r="CX144" s="127"/>
      <c r="CY144" s="67"/>
      <c r="CZ144" s="67"/>
    </row>
    <row r="145" spans="1:104" x14ac:dyDescent="0.35">
      <c r="A145" s="143">
        <v>160</v>
      </c>
      <c r="B145" s="116" t="s">
        <v>593</v>
      </c>
      <c r="C145" s="144">
        <v>11366174.640217815</v>
      </c>
      <c r="D145" s="144">
        <v>1161290.48</v>
      </c>
      <c r="E145" s="144">
        <v>299831.27</v>
      </c>
      <c r="F145" s="145">
        <f t="shared" si="69"/>
        <v>1461121.75</v>
      </c>
      <c r="G145" s="144"/>
      <c r="H145" s="144"/>
      <c r="I145" s="145"/>
      <c r="J145" s="144">
        <v>256596.61</v>
      </c>
      <c r="K145" s="144">
        <v>65300.47</v>
      </c>
      <c r="L145" s="145">
        <f t="shared" si="70"/>
        <v>321897.07999999996</v>
      </c>
      <c r="M145" s="146">
        <v>77396.17</v>
      </c>
      <c r="N145" s="146">
        <v>25080.81</v>
      </c>
      <c r="O145" s="145">
        <f t="shared" si="71"/>
        <v>102476.98</v>
      </c>
      <c r="P145" s="144">
        <v>480572.81</v>
      </c>
      <c r="Q145" s="144">
        <v>155733.43</v>
      </c>
      <c r="R145" s="147">
        <f t="shared" si="72"/>
        <v>636306.24</v>
      </c>
      <c r="S145" s="117">
        <v>0</v>
      </c>
      <c r="T145" s="117">
        <v>0</v>
      </c>
      <c r="U145" s="146">
        <v>0</v>
      </c>
      <c r="V145" s="146">
        <v>918.36</v>
      </c>
      <c r="W145" s="4"/>
      <c r="X145" s="4"/>
      <c r="Y145" s="4"/>
      <c r="Z145" s="4"/>
      <c r="AA145" s="4"/>
      <c r="AB145" s="4"/>
      <c r="AC145" s="4"/>
      <c r="AD145" s="4"/>
      <c r="AE145" s="4"/>
      <c r="AF145" s="118">
        <f t="shared" si="73"/>
        <v>321897.07999999996</v>
      </c>
      <c r="AG145" s="112">
        <f t="shared" si="73"/>
        <v>77396.17</v>
      </c>
      <c r="AH145" s="112">
        <f t="shared" si="73"/>
        <v>25080.81</v>
      </c>
      <c r="AI145" s="10">
        <f t="shared" si="74"/>
        <v>59492.908332289997</v>
      </c>
      <c r="AJ145" s="10">
        <f t="shared" si="75"/>
        <v>22304.114626729999</v>
      </c>
      <c r="AK145" s="10">
        <f t="shared" si="76"/>
        <v>190.91461373999999</v>
      </c>
      <c r="AL145" s="10">
        <f t="shared" si="77"/>
        <v>20489.042427240001</v>
      </c>
      <c r="AM145" s="10">
        <f t="shared" si="78"/>
        <v>0</v>
      </c>
      <c r="AN145" s="9">
        <f t="shared" si="79"/>
        <v>0</v>
      </c>
      <c r="AO145" s="10">
        <f t="shared" si="80"/>
        <v>0</v>
      </c>
      <c r="AP145" s="66">
        <f t="shared" si="81"/>
        <v>998721.28077826067</v>
      </c>
      <c r="AQ145" s="66">
        <f t="shared" si="82"/>
        <v>345501.76248701359</v>
      </c>
      <c r="AR145" s="66">
        <f t="shared" si="83"/>
        <v>3218.9605200653436</v>
      </c>
      <c r="AS145" s="66">
        <f t="shared" si="84"/>
        <v>80474.013001633604</v>
      </c>
      <c r="AT145" s="66"/>
      <c r="AU145" s="4"/>
      <c r="AV145" s="4"/>
      <c r="AW145" s="4"/>
      <c r="AX145" s="4"/>
      <c r="AY145" s="4"/>
      <c r="AZ145" s="4"/>
      <c r="BA145" s="4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9">
        <f t="shared" si="68"/>
        <v>1852290.076786973</v>
      </c>
      <c r="BN145" s="9">
        <f t="shared" si="97"/>
        <v>1424204.9940248043</v>
      </c>
      <c r="BO145" s="9">
        <f t="shared" si="85"/>
        <v>424675.20762836351</v>
      </c>
      <c r="BP145" s="9">
        <f t="shared" si="86"/>
        <v>3409.8751338053435</v>
      </c>
      <c r="BQ145" s="10">
        <f t="shared" si="87"/>
        <v>0</v>
      </c>
      <c r="BR145" s="9">
        <f t="shared" si="88"/>
        <v>1852290.0767869733</v>
      </c>
      <c r="BS145" s="142">
        <f t="shared" si="98"/>
        <v>1344223.0432652743</v>
      </c>
      <c r="BT145" s="83">
        <f t="shared" si="89"/>
        <v>1344223</v>
      </c>
      <c r="BU145" s="175">
        <f t="shared" si="90"/>
        <v>1.3125310690611856E-3</v>
      </c>
      <c r="BV145" s="173">
        <f t="shared" si="91"/>
        <v>321897.07999999996</v>
      </c>
      <c r="BW145" s="176">
        <f t="shared" si="92"/>
        <v>1.8767651780698745E-3</v>
      </c>
      <c r="BX145" s="177">
        <f t="shared" si="93"/>
        <v>0</v>
      </c>
      <c r="BY145" s="178">
        <f t="shared" si="94"/>
        <v>0</v>
      </c>
      <c r="BZ145" s="4"/>
      <c r="CA145" s="4"/>
      <c r="CB145" s="4"/>
      <c r="CC145" s="4"/>
      <c r="CD145" s="4"/>
      <c r="CE145" s="4"/>
      <c r="CF145" s="4"/>
      <c r="CG145" s="126">
        <f t="shared" si="95"/>
        <v>1034890.6186987502</v>
      </c>
      <c r="CH145" s="126">
        <f t="shared" si="96"/>
        <v>426231.13130125002</v>
      </c>
      <c r="CI145" s="126"/>
      <c r="CJ145" s="126"/>
      <c r="CK145" s="9"/>
      <c r="CL145" s="9"/>
      <c r="CM145" s="127"/>
      <c r="CN145" s="9"/>
      <c r="CO145" s="9"/>
      <c r="CP145" s="9"/>
      <c r="CQ145" s="126"/>
      <c r="CR145" s="126"/>
      <c r="CS145" s="126"/>
      <c r="CT145" s="126"/>
      <c r="CU145" s="126"/>
      <c r="CV145" s="9"/>
      <c r="CW145" s="9"/>
      <c r="CX145" s="127"/>
      <c r="CY145" s="67"/>
      <c r="CZ145" s="67"/>
    </row>
    <row r="146" spans="1:104" x14ac:dyDescent="0.35">
      <c r="A146" s="143">
        <v>161</v>
      </c>
      <c r="B146" s="116" t="s">
        <v>594</v>
      </c>
      <c r="C146" s="144">
        <v>3497803.8117464022</v>
      </c>
      <c r="D146" s="144">
        <v>244965.61</v>
      </c>
      <c r="E146" s="144">
        <v>204677.07</v>
      </c>
      <c r="F146" s="145">
        <f t="shared" si="69"/>
        <v>449642.68</v>
      </c>
      <c r="G146" s="144"/>
      <c r="H146" s="144"/>
      <c r="I146" s="145"/>
      <c r="J146" s="144">
        <v>51871.49</v>
      </c>
      <c r="K146" s="144">
        <v>46461.17</v>
      </c>
      <c r="L146" s="145">
        <f t="shared" si="70"/>
        <v>98332.66</v>
      </c>
      <c r="M146" s="146">
        <v>28433.59</v>
      </c>
      <c r="N146" s="146">
        <v>7006.84</v>
      </c>
      <c r="O146" s="145">
        <f t="shared" si="71"/>
        <v>35440.43</v>
      </c>
      <c r="P146" s="144">
        <v>176550.38</v>
      </c>
      <c r="Q146" s="144">
        <v>43506.89</v>
      </c>
      <c r="R146" s="147">
        <f t="shared" si="72"/>
        <v>220057.27000000002</v>
      </c>
      <c r="S146" s="117">
        <v>0</v>
      </c>
      <c r="T146" s="117">
        <v>0</v>
      </c>
      <c r="U146" s="146">
        <v>0</v>
      </c>
      <c r="V146" s="146">
        <v>0</v>
      </c>
      <c r="W146" s="4"/>
      <c r="X146" s="4"/>
      <c r="Y146" s="4"/>
      <c r="Z146" s="4"/>
      <c r="AA146" s="4"/>
      <c r="AB146" s="4"/>
      <c r="AC146" s="4"/>
      <c r="AD146" s="4"/>
      <c r="AE146" s="4"/>
      <c r="AF146" s="118">
        <f t="shared" si="73"/>
        <v>98332.66</v>
      </c>
      <c r="AG146" s="112">
        <f t="shared" si="73"/>
        <v>28433.59</v>
      </c>
      <c r="AH146" s="112">
        <f t="shared" si="73"/>
        <v>7006.84</v>
      </c>
      <c r="AI146" s="10">
        <f t="shared" si="74"/>
        <v>20471.393697480002</v>
      </c>
      <c r="AJ146" s="10">
        <f t="shared" si="75"/>
        <v>7817.12208809</v>
      </c>
      <c r="AK146" s="10">
        <f t="shared" si="76"/>
        <v>66.025521089999998</v>
      </c>
      <c r="AL146" s="10">
        <f t="shared" si="77"/>
        <v>7085.8886933400008</v>
      </c>
      <c r="AM146" s="10">
        <f t="shared" si="78"/>
        <v>0</v>
      </c>
      <c r="AN146" s="9">
        <f t="shared" si="79"/>
        <v>0</v>
      </c>
      <c r="AO146" s="10">
        <f t="shared" si="80"/>
        <v>0</v>
      </c>
      <c r="AP146" s="66">
        <f t="shared" si="81"/>
        <v>313925.73505623161</v>
      </c>
      <c r="AQ146" s="66">
        <f t="shared" si="82"/>
        <v>105543.43864423415</v>
      </c>
      <c r="AR146" s="66">
        <f t="shared" si="83"/>
        <v>983.32396252392073</v>
      </c>
      <c r="AS146" s="66">
        <f t="shared" si="84"/>
        <v>24583.099063098016</v>
      </c>
      <c r="AT146" s="66"/>
      <c r="AU146" s="4"/>
      <c r="AV146" s="4"/>
      <c r="AW146" s="4"/>
      <c r="AX146" s="4"/>
      <c r="AY146" s="4"/>
      <c r="AZ146" s="4"/>
      <c r="BA146" s="4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9">
        <f t="shared" si="68"/>
        <v>578808.6867260877</v>
      </c>
      <c r="BN146" s="9">
        <f t="shared" si="97"/>
        <v>447026.45609128574</v>
      </c>
      <c r="BO146" s="9">
        <f t="shared" si="85"/>
        <v>130732.88115118802</v>
      </c>
      <c r="BP146" s="9">
        <f t="shared" si="86"/>
        <v>1049.3494836139207</v>
      </c>
      <c r="BQ146" s="10">
        <f t="shared" si="87"/>
        <v>0</v>
      </c>
      <c r="BR146" s="9">
        <f t="shared" si="88"/>
        <v>578808.6867260877</v>
      </c>
      <c r="BS146" s="142">
        <f t="shared" si="98"/>
        <v>419469.17370046576</v>
      </c>
      <c r="BT146" s="83">
        <f t="shared" si="89"/>
        <v>419469</v>
      </c>
      <c r="BU146" s="175">
        <f t="shared" si="90"/>
        <v>4.0957959004920403E-4</v>
      </c>
      <c r="BV146" s="173">
        <f t="shared" si="91"/>
        <v>98332.66</v>
      </c>
      <c r="BW146" s="176">
        <f t="shared" si="92"/>
        <v>5.7331154465577769E-4</v>
      </c>
      <c r="BX146" s="177">
        <f t="shared" si="93"/>
        <v>0</v>
      </c>
      <c r="BY146" s="178">
        <f t="shared" si="94"/>
        <v>0</v>
      </c>
      <c r="BZ146" s="4"/>
      <c r="CA146" s="4"/>
      <c r="CB146" s="4"/>
      <c r="CC146" s="4"/>
      <c r="CD146" s="4"/>
      <c r="CE146" s="4"/>
      <c r="CF146" s="4"/>
      <c r="CG146" s="126">
        <f t="shared" si="95"/>
        <v>318475.16560379998</v>
      </c>
      <c r="CH146" s="126">
        <f t="shared" si="96"/>
        <v>131167.51439619999</v>
      </c>
      <c r="CI146" s="126"/>
      <c r="CJ146" s="126"/>
      <c r="CK146" s="9"/>
      <c r="CL146" s="9"/>
      <c r="CM146" s="127"/>
      <c r="CN146" s="9"/>
      <c r="CO146" s="9"/>
      <c r="CP146" s="9"/>
      <c r="CQ146" s="126"/>
      <c r="CR146" s="126"/>
      <c r="CS146" s="126"/>
      <c r="CT146" s="126"/>
      <c r="CU146" s="126"/>
      <c r="CV146" s="9"/>
      <c r="CW146" s="9"/>
      <c r="CX146" s="127"/>
      <c r="CY146" s="67"/>
      <c r="CZ146" s="67"/>
    </row>
    <row r="147" spans="1:104" x14ac:dyDescent="0.35">
      <c r="A147" s="143">
        <v>162</v>
      </c>
      <c r="B147" s="116" t="s">
        <v>595</v>
      </c>
      <c r="C147" s="144">
        <v>11957222.559315441</v>
      </c>
      <c r="D147" s="144">
        <v>972246.3</v>
      </c>
      <c r="E147" s="144">
        <v>564854.66</v>
      </c>
      <c r="F147" s="145">
        <f t="shared" si="69"/>
        <v>1537100.96</v>
      </c>
      <c r="G147" s="144"/>
      <c r="H147" s="144"/>
      <c r="I147" s="145"/>
      <c r="J147" s="144">
        <v>203018.22</v>
      </c>
      <c r="K147" s="144">
        <v>115559.69</v>
      </c>
      <c r="L147" s="145">
        <f t="shared" si="70"/>
        <v>318577.91000000003</v>
      </c>
      <c r="M147" s="146">
        <v>128186.08</v>
      </c>
      <c r="N147" s="146">
        <v>87293.07</v>
      </c>
      <c r="O147" s="145">
        <f t="shared" si="71"/>
        <v>215479.15000000002</v>
      </c>
      <c r="P147" s="144">
        <v>795937.75</v>
      </c>
      <c r="Q147" s="144">
        <v>542022.96</v>
      </c>
      <c r="R147" s="147">
        <f t="shared" si="72"/>
        <v>1337960.71</v>
      </c>
      <c r="S147" s="117">
        <v>0</v>
      </c>
      <c r="T147" s="117">
        <v>0</v>
      </c>
      <c r="U147" s="146">
        <v>0</v>
      </c>
      <c r="V147" s="146">
        <v>0</v>
      </c>
      <c r="W147" s="4"/>
      <c r="X147" s="4"/>
      <c r="Y147" s="4"/>
      <c r="Z147" s="4"/>
      <c r="AA147" s="4"/>
      <c r="AB147" s="4"/>
      <c r="AC147" s="4"/>
      <c r="AD147" s="4"/>
      <c r="AE147" s="4"/>
      <c r="AF147" s="118">
        <f t="shared" si="73"/>
        <v>318577.91000000003</v>
      </c>
      <c r="AG147" s="112">
        <f t="shared" si="73"/>
        <v>128186.08</v>
      </c>
      <c r="AH147" s="112">
        <f t="shared" si="73"/>
        <v>87293.07</v>
      </c>
      <c r="AI147" s="10">
        <f t="shared" si="74"/>
        <v>127241.85700631001</v>
      </c>
      <c r="AJ147" s="10">
        <f t="shared" si="75"/>
        <v>44753.385044540002</v>
      </c>
      <c r="AK147" s="10">
        <f t="shared" si="76"/>
        <v>401.43765645000002</v>
      </c>
      <c r="AL147" s="10">
        <f t="shared" si="77"/>
        <v>43082.470292700003</v>
      </c>
      <c r="AM147" s="10">
        <f t="shared" si="78"/>
        <v>0</v>
      </c>
      <c r="AN147" s="9">
        <f t="shared" si="79"/>
        <v>0</v>
      </c>
      <c r="AO147" s="10">
        <f t="shared" si="80"/>
        <v>0</v>
      </c>
      <c r="AP147" s="66">
        <f t="shared" si="81"/>
        <v>1005404.0254129987</v>
      </c>
      <c r="AQ147" s="66">
        <f t="shared" si="82"/>
        <v>341940.23154795723</v>
      </c>
      <c r="AR147" s="66">
        <f t="shared" si="83"/>
        <v>3185.7785547946323</v>
      </c>
      <c r="AS147" s="66">
        <f t="shared" si="84"/>
        <v>79644.463869865809</v>
      </c>
      <c r="AT147" s="66"/>
      <c r="AU147" s="4"/>
      <c r="AV147" s="4"/>
      <c r="AW147" s="4"/>
      <c r="AX147" s="4"/>
      <c r="AY147" s="4"/>
      <c r="AZ147" s="4"/>
      <c r="BA147" s="4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9">
        <f t="shared" si="68"/>
        <v>1964231.5593856163</v>
      </c>
      <c r="BN147" s="9">
        <f t="shared" si="97"/>
        <v>1517668.5842599659</v>
      </c>
      <c r="BO147" s="9">
        <f t="shared" si="85"/>
        <v>442975.75891440583</v>
      </c>
      <c r="BP147" s="9">
        <f t="shared" si="86"/>
        <v>3587.2162112446322</v>
      </c>
      <c r="BQ147" s="10">
        <f t="shared" si="87"/>
        <v>0</v>
      </c>
      <c r="BR147" s="9">
        <f t="shared" si="88"/>
        <v>1964231.5593856166</v>
      </c>
      <c r="BS147" s="142">
        <f t="shared" si="98"/>
        <v>1347344.2569609559</v>
      </c>
      <c r="BT147" s="83">
        <f t="shared" si="89"/>
        <v>1347344</v>
      </c>
      <c r="BU147" s="175">
        <f t="shared" si="90"/>
        <v>1.3155786956952375E-3</v>
      </c>
      <c r="BV147" s="173">
        <f t="shared" si="91"/>
        <v>318577.91000000003</v>
      </c>
      <c r="BW147" s="176">
        <f t="shared" si="92"/>
        <v>1.857413332206302E-3</v>
      </c>
      <c r="BX147" s="177">
        <f t="shared" si="93"/>
        <v>0</v>
      </c>
      <c r="BY147" s="178">
        <f t="shared" si="94"/>
        <v>0</v>
      </c>
      <c r="BZ147" s="4"/>
      <c r="CA147" s="4"/>
      <c r="CB147" s="4"/>
      <c r="CC147" s="4"/>
      <c r="CD147" s="4"/>
      <c r="CE147" s="4"/>
      <c r="CF147" s="4"/>
      <c r="CG147" s="126">
        <f t="shared" si="95"/>
        <v>1088705.5534536</v>
      </c>
      <c r="CH147" s="126">
        <f t="shared" si="96"/>
        <v>448395.40654640005</v>
      </c>
      <c r="CI147" s="126"/>
      <c r="CJ147" s="126"/>
      <c r="CK147" s="9"/>
      <c r="CL147" s="9"/>
      <c r="CM147" s="127"/>
      <c r="CN147" s="9"/>
      <c r="CO147" s="9"/>
      <c r="CP147" s="9"/>
      <c r="CQ147" s="126"/>
      <c r="CR147" s="126"/>
      <c r="CS147" s="126"/>
      <c r="CT147" s="126"/>
      <c r="CU147" s="126"/>
      <c r="CV147" s="9"/>
      <c r="CW147" s="9"/>
      <c r="CX147" s="127"/>
      <c r="CY147" s="67"/>
      <c r="CZ147" s="67"/>
    </row>
    <row r="148" spans="1:104" x14ac:dyDescent="0.35">
      <c r="A148" s="143">
        <v>163</v>
      </c>
      <c r="B148" s="116" t="s">
        <v>596</v>
      </c>
      <c r="C148" s="144">
        <v>3322891.2485414236</v>
      </c>
      <c r="D148" s="144">
        <v>263882.58</v>
      </c>
      <c r="E148" s="144">
        <v>163275.09</v>
      </c>
      <c r="F148" s="145">
        <f t="shared" si="69"/>
        <v>427157.67000000004</v>
      </c>
      <c r="G148" s="144"/>
      <c r="H148" s="144"/>
      <c r="I148" s="145"/>
      <c r="J148" s="144">
        <v>58299.11</v>
      </c>
      <c r="K148" s="144">
        <v>32045.59</v>
      </c>
      <c r="L148" s="145">
        <f t="shared" si="70"/>
        <v>90344.7</v>
      </c>
      <c r="M148" s="146">
        <v>17627.72</v>
      </c>
      <c r="N148" s="146">
        <v>32521.74</v>
      </c>
      <c r="O148" s="145">
        <f t="shared" si="71"/>
        <v>50149.460000000006</v>
      </c>
      <c r="P148" s="144">
        <v>109455.13</v>
      </c>
      <c r="Q148" s="144">
        <v>201935.49</v>
      </c>
      <c r="R148" s="147">
        <f t="shared" si="72"/>
        <v>311390.62</v>
      </c>
      <c r="S148" s="117">
        <v>0</v>
      </c>
      <c r="T148" s="117">
        <v>0</v>
      </c>
      <c r="U148" s="146">
        <v>0</v>
      </c>
      <c r="V148" s="146">
        <v>0</v>
      </c>
      <c r="W148" s="4"/>
      <c r="X148" s="4"/>
      <c r="Y148" s="4"/>
      <c r="Z148" s="4"/>
      <c r="AA148" s="4"/>
      <c r="AB148" s="4"/>
      <c r="AC148" s="4"/>
      <c r="AD148" s="4"/>
      <c r="AE148" s="4"/>
      <c r="AF148" s="118">
        <f t="shared" si="73"/>
        <v>90344.7</v>
      </c>
      <c r="AG148" s="112">
        <f t="shared" si="73"/>
        <v>17627.72</v>
      </c>
      <c r="AH148" s="112">
        <f t="shared" si="73"/>
        <v>32521.74</v>
      </c>
      <c r="AI148" s="10">
        <f t="shared" si="74"/>
        <v>30371.469911740001</v>
      </c>
      <c r="AJ148" s="10">
        <f t="shared" si="75"/>
        <v>9657.7789107999997</v>
      </c>
      <c r="AK148" s="10">
        <f t="shared" si="76"/>
        <v>93.428443980000011</v>
      </c>
      <c r="AL148" s="10">
        <f t="shared" si="77"/>
        <v>10026.78273348</v>
      </c>
      <c r="AM148" s="10">
        <f t="shared" si="78"/>
        <v>0</v>
      </c>
      <c r="AN148" s="9">
        <f t="shared" si="79"/>
        <v>0</v>
      </c>
      <c r="AO148" s="10">
        <f t="shared" si="80"/>
        <v>0</v>
      </c>
      <c r="AP148" s="66">
        <f t="shared" si="81"/>
        <v>284879.06787712139</v>
      </c>
      <c r="AQ148" s="66">
        <f t="shared" si="82"/>
        <v>96970.320239033841</v>
      </c>
      <c r="AR148" s="66">
        <f t="shared" si="83"/>
        <v>903.450188562427</v>
      </c>
      <c r="AS148" s="66">
        <f t="shared" si="84"/>
        <v>22586.254714060677</v>
      </c>
      <c r="AT148" s="66"/>
      <c r="AU148" s="4"/>
      <c r="AV148" s="4"/>
      <c r="AW148" s="4"/>
      <c r="AX148" s="4"/>
      <c r="AY148" s="4"/>
      <c r="AZ148" s="4"/>
      <c r="BA148" s="4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9">
        <f t="shared" si="68"/>
        <v>545833.2530187784</v>
      </c>
      <c r="BN148" s="9">
        <f t="shared" si="97"/>
        <v>422247.64076137525</v>
      </c>
      <c r="BO148" s="9">
        <f t="shared" si="85"/>
        <v>122588.73362486067</v>
      </c>
      <c r="BP148" s="9">
        <f t="shared" si="86"/>
        <v>996.878632542427</v>
      </c>
      <c r="BQ148" s="10">
        <f t="shared" si="87"/>
        <v>0</v>
      </c>
      <c r="BR148" s="9">
        <f t="shared" si="88"/>
        <v>545833.2530187784</v>
      </c>
      <c r="BS148" s="142">
        <f t="shared" si="98"/>
        <v>381849.38811615523</v>
      </c>
      <c r="BT148" s="83">
        <f t="shared" si="89"/>
        <v>381849</v>
      </c>
      <c r="BU148" s="175">
        <f t="shared" si="90"/>
        <v>3.7284674453058765E-4</v>
      </c>
      <c r="BV148" s="173">
        <f t="shared" si="91"/>
        <v>90344.7</v>
      </c>
      <c r="BW148" s="176">
        <f t="shared" si="92"/>
        <v>5.2673912724890014E-4</v>
      </c>
      <c r="BX148" s="177">
        <f t="shared" si="93"/>
        <v>0</v>
      </c>
      <c r="BY148" s="178">
        <f t="shared" si="94"/>
        <v>0</v>
      </c>
      <c r="BZ148" s="4"/>
      <c r="CA148" s="4"/>
      <c r="CB148" s="4"/>
      <c r="CC148" s="4"/>
      <c r="CD148" s="4"/>
      <c r="CE148" s="4"/>
      <c r="CF148" s="4"/>
      <c r="CG148" s="126">
        <f t="shared" si="95"/>
        <v>302549.37029595004</v>
      </c>
      <c r="CH148" s="126">
        <f t="shared" si="96"/>
        <v>124608.29970405</v>
      </c>
      <c r="CI148" s="126"/>
      <c r="CJ148" s="126"/>
      <c r="CK148" s="9"/>
      <c r="CL148" s="9"/>
      <c r="CM148" s="127"/>
      <c r="CN148" s="9"/>
      <c r="CO148" s="9"/>
      <c r="CP148" s="9"/>
      <c r="CQ148" s="126"/>
      <c r="CR148" s="126"/>
      <c r="CS148" s="126"/>
      <c r="CT148" s="126"/>
      <c r="CU148" s="126"/>
      <c r="CV148" s="9"/>
      <c r="CW148" s="9"/>
      <c r="CX148" s="127"/>
      <c r="CY148" s="67"/>
      <c r="CZ148" s="67"/>
    </row>
    <row r="149" spans="1:104" x14ac:dyDescent="0.35">
      <c r="A149" s="143">
        <v>166</v>
      </c>
      <c r="B149" s="116" t="s">
        <v>597</v>
      </c>
      <c r="C149" s="144">
        <v>14575823.648385841</v>
      </c>
      <c r="D149" s="144">
        <v>1515977.37</v>
      </c>
      <c r="E149" s="144">
        <v>357744.76</v>
      </c>
      <c r="F149" s="145">
        <f t="shared" si="69"/>
        <v>1873722.1300000001</v>
      </c>
      <c r="G149" s="144"/>
      <c r="H149" s="144"/>
      <c r="I149" s="145"/>
      <c r="J149" s="144">
        <v>343519.34</v>
      </c>
      <c r="K149" s="144">
        <v>82296.850000000006</v>
      </c>
      <c r="L149" s="145">
        <f t="shared" si="70"/>
        <v>425816.19000000006</v>
      </c>
      <c r="M149" s="146">
        <v>55107.31</v>
      </c>
      <c r="N149" s="146">
        <v>6393.37</v>
      </c>
      <c r="O149" s="145">
        <f t="shared" si="71"/>
        <v>61500.68</v>
      </c>
      <c r="P149" s="144">
        <v>342175.53</v>
      </c>
      <c r="Q149" s="144">
        <v>39698.03</v>
      </c>
      <c r="R149" s="147">
        <f t="shared" si="72"/>
        <v>381873.56000000006</v>
      </c>
      <c r="S149" s="117">
        <v>0</v>
      </c>
      <c r="T149" s="117">
        <v>0</v>
      </c>
      <c r="U149" s="146">
        <v>0</v>
      </c>
      <c r="V149" s="146">
        <v>0</v>
      </c>
      <c r="W149" s="4"/>
      <c r="X149" s="4"/>
      <c r="Y149" s="4"/>
      <c r="Z149" s="4"/>
      <c r="AA149" s="4"/>
      <c r="AB149" s="4"/>
      <c r="AC149" s="4"/>
      <c r="AD149" s="4"/>
      <c r="AE149" s="4"/>
      <c r="AF149" s="118">
        <f t="shared" si="73"/>
        <v>425816.19000000006</v>
      </c>
      <c r="AG149" s="112">
        <f t="shared" si="73"/>
        <v>55107.31</v>
      </c>
      <c r="AH149" s="112">
        <f t="shared" si="73"/>
        <v>6393.37</v>
      </c>
      <c r="AI149" s="10">
        <f t="shared" si="74"/>
        <v>35166.515962769998</v>
      </c>
      <c r="AJ149" s="10">
        <f t="shared" si="75"/>
        <v>13923.26531255</v>
      </c>
      <c r="AK149" s="10">
        <f t="shared" si="76"/>
        <v>114.57576684</v>
      </c>
      <c r="AL149" s="10">
        <f t="shared" si="77"/>
        <v>12296.322957840001</v>
      </c>
      <c r="AM149" s="10">
        <f t="shared" si="78"/>
        <v>0</v>
      </c>
      <c r="AN149" s="9">
        <f t="shared" si="79"/>
        <v>0</v>
      </c>
      <c r="AO149" s="10">
        <f t="shared" si="80"/>
        <v>0</v>
      </c>
      <c r="AP149" s="66">
        <f t="shared" si="81"/>
        <v>1319791.4058970839</v>
      </c>
      <c r="AQ149" s="66">
        <f t="shared" si="82"/>
        <v>457045.19284602418</v>
      </c>
      <c r="AR149" s="66">
        <f t="shared" si="83"/>
        <v>4258.1850265157527</v>
      </c>
      <c r="AS149" s="66">
        <f t="shared" si="84"/>
        <v>106454.62566289383</v>
      </c>
      <c r="AT149" s="66"/>
      <c r="AU149" s="4"/>
      <c r="AV149" s="4"/>
      <c r="AW149" s="4"/>
      <c r="AX149" s="4"/>
      <c r="AY149" s="4"/>
      <c r="AZ149" s="4"/>
      <c r="BA149" s="4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9">
        <f t="shared" si="68"/>
        <v>2374866.2794325175</v>
      </c>
      <c r="BN149" s="9">
        <f t="shared" si="97"/>
        <v>1824299.4376637181</v>
      </c>
      <c r="BO149" s="9">
        <f t="shared" si="85"/>
        <v>546194.08097544394</v>
      </c>
      <c r="BP149" s="9">
        <f t="shared" si="86"/>
        <v>4372.7607933557529</v>
      </c>
      <c r="BQ149" s="10">
        <f t="shared" si="87"/>
        <v>0</v>
      </c>
      <c r="BR149" s="9">
        <f t="shared" si="88"/>
        <v>2374866.2794325179</v>
      </c>
      <c r="BS149" s="142">
        <f t="shared" si="98"/>
        <v>1776836.5987431081</v>
      </c>
      <c r="BT149" s="83">
        <f t="shared" si="89"/>
        <v>1776837</v>
      </c>
      <c r="BU149" s="175">
        <f t="shared" si="90"/>
        <v>1.7349451433522972E-3</v>
      </c>
      <c r="BV149" s="173">
        <f t="shared" si="91"/>
        <v>425816.19000000006</v>
      </c>
      <c r="BW149" s="176">
        <f t="shared" si="92"/>
        <v>2.4826475519765068E-3</v>
      </c>
      <c r="BX149" s="177">
        <f t="shared" si="93"/>
        <v>0</v>
      </c>
      <c r="BY149" s="178">
        <f t="shared" si="94"/>
        <v>0</v>
      </c>
      <c r="BZ149" s="4"/>
      <c r="CA149" s="4"/>
      <c r="CB149" s="4"/>
      <c r="CC149" s="4"/>
      <c r="CD149" s="4"/>
      <c r="CE149" s="4"/>
      <c r="CF149" s="4"/>
      <c r="CG149" s="126">
        <f t="shared" si="95"/>
        <v>1327129.2788470502</v>
      </c>
      <c r="CH149" s="126">
        <f t="shared" si="96"/>
        <v>546592.85115295008</v>
      </c>
      <c r="CI149" s="126"/>
      <c r="CJ149" s="126"/>
      <c r="CK149" s="9"/>
      <c r="CL149" s="9"/>
      <c r="CM149" s="127"/>
      <c r="CN149" s="9"/>
      <c r="CO149" s="9"/>
      <c r="CP149" s="9"/>
      <c r="CQ149" s="126"/>
      <c r="CR149" s="126"/>
      <c r="CS149" s="126"/>
      <c r="CT149" s="126"/>
      <c r="CU149" s="126"/>
      <c r="CV149" s="9"/>
      <c r="CW149" s="9"/>
      <c r="CX149" s="127"/>
      <c r="CY149" s="67"/>
      <c r="CZ149" s="67"/>
    </row>
    <row r="150" spans="1:104" x14ac:dyDescent="0.35">
      <c r="A150" s="143">
        <v>167</v>
      </c>
      <c r="B150" s="116" t="s">
        <v>598</v>
      </c>
      <c r="C150" s="144">
        <v>4489762.816024893</v>
      </c>
      <c r="D150" s="144">
        <v>353770.38</v>
      </c>
      <c r="E150" s="144">
        <v>223388.63</v>
      </c>
      <c r="F150" s="145">
        <f t="shared" si="69"/>
        <v>577159.01</v>
      </c>
      <c r="G150" s="144"/>
      <c r="H150" s="144"/>
      <c r="I150" s="145"/>
      <c r="J150" s="144">
        <v>73072.89</v>
      </c>
      <c r="K150" s="144">
        <v>49866.2</v>
      </c>
      <c r="L150" s="145">
        <f t="shared" si="70"/>
        <v>122939.09</v>
      </c>
      <c r="M150" s="146">
        <v>50933.84</v>
      </c>
      <c r="N150" s="146">
        <v>12168.84</v>
      </c>
      <c r="O150" s="145">
        <f t="shared" si="71"/>
        <v>63102.679999999993</v>
      </c>
      <c r="P150" s="144">
        <v>316260.57</v>
      </c>
      <c r="Q150" s="144">
        <v>75559.320000000007</v>
      </c>
      <c r="R150" s="147">
        <f t="shared" si="72"/>
        <v>391819.89</v>
      </c>
      <c r="S150" s="117">
        <v>0</v>
      </c>
      <c r="T150" s="117">
        <v>0</v>
      </c>
      <c r="U150" s="146">
        <v>0</v>
      </c>
      <c r="V150" s="146">
        <v>0</v>
      </c>
      <c r="W150" s="4"/>
      <c r="X150" s="4"/>
      <c r="Y150" s="4"/>
      <c r="Z150" s="4"/>
      <c r="AA150" s="4"/>
      <c r="AB150" s="4"/>
      <c r="AC150" s="4"/>
      <c r="AD150" s="4"/>
      <c r="AE150" s="4"/>
      <c r="AF150" s="118">
        <f t="shared" si="73"/>
        <v>122939.09</v>
      </c>
      <c r="AG150" s="112">
        <f t="shared" si="73"/>
        <v>50933.84</v>
      </c>
      <c r="AH150" s="112">
        <f t="shared" si="73"/>
        <v>12168.84</v>
      </c>
      <c r="AI150" s="10">
        <f t="shared" si="74"/>
        <v>36430.826125479995</v>
      </c>
      <c r="AJ150" s="10">
        <f t="shared" si="75"/>
        <v>13937.669947839999</v>
      </c>
      <c r="AK150" s="10">
        <f t="shared" si="76"/>
        <v>117.56029284</v>
      </c>
      <c r="AL150" s="10">
        <f t="shared" si="77"/>
        <v>12616.623633839999</v>
      </c>
      <c r="AM150" s="10">
        <f t="shared" si="78"/>
        <v>0</v>
      </c>
      <c r="AN150" s="9">
        <f t="shared" si="79"/>
        <v>0</v>
      </c>
      <c r="AO150" s="10">
        <f t="shared" si="80"/>
        <v>0</v>
      </c>
      <c r="AP150" s="66">
        <f t="shared" si="81"/>
        <v>389739.67769803596</v>
      </c>
      <c r="AQ150" s="66">
        <f t="shared" si="82"/>
        <v>131953.76221800153</v>
      </c>
      <c r="AR150" s="66">
        <f t="shared" si="83"/>
        <v>1229.3828778074678</v>
      </c>
      <c r="AS150" s="66">
        <f t="shared" si="84"/>
        <v>30734.571945186697</v>
      </c>
      <c r="AT150" s="66"/>
      <c r="AU150" s="4"/>
      <c r="AV150" s="4"/>
      <c r="AW150" s="4"/>
      <c r="AX150" s="4"/>
      <c r="AY150" s="4"/>
      <c r="AZ150" s="4"/>
      <c r="BA150" s="4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9">
        <f t="shared" si="68"/>
        <v>739699.16473903158</v>
      </c>
      <c r="BN150" s="9">
        <f t="shared" si="97"/>
        <v>570740.8896753575</v>
      </c>
      <c r="BO150" s="9">
        <f t="shared" si="85"/>
        <v>167611.33189302671</v>
      </c>
      <c r="BP150" s="9">
        <f t="shared" si="86"/>
        <v>1346.9431706474679</v>
      </c>
      <c r="BQ150" s="10">
        <f t="shared" si="87"/>
        <v>0</v>
      </c>
      <c r="BR150" s="9">
        <f t="shared" si="88"/>
        <v>739699.16473903169</v>
      </c>
      <c r="BS150" s="142">
        <f t="shared" si="98"/>
        <v>521693.43991603749</v>
      </c>
      <c r="BT150" s="83">
        <f t="shared" si="89"/>
        <v>521693</v>
      </c>
      <c r="BU150" s="175">
        <f t="shared" si="90"/>
        <v>5.0939377348560675E-4</v>
      </c>
      <c r="BV150" s="173">
        <f t="shared" si="91"/>
        <v>122939.09</v>
      </c>
      <c r="BW150" s="176">
        <f t="shared" si="92"/>
        <v>7.1677507337313635E-4</v>
      </c>
      <c r="BX150" s="177">
        <f t="shared" si="93"/>
        <v>0</v>
      </c>
      <c r="BY150" s="178">
        <f t="shared" si="94"/>
        <v>0</v>
      </c>
      <c r="BZ150" s="4"/>
      <c r="CA150" s="4"/>
      <c r="CB150" s="4"/>
      <c r="CC150" s="4"/>
      <c r="CD150" s="4"/>
      <c r="CE150" s="4"/>
      <c r="CF150" s="4"/>
      <c r="CG150" s="126">
        <f t="shared" si="95"/>
        <v>408793.06939785002</v>
      </c>
      <c r="CH150" s="126">
        <f t="shared" si="96"/>
        <v>168365.94060215002</v>
      </c>
      <c r="CI150" s="126"/>
      <c r="CJ150" s="126"/>
      <c r="CK150" s="9"/>
      <c r="CL150" s="9"/>
      <c r="CM150" s="127"/>
      <c r="CN150" s="9"/>
      <c r="CO150" s="9"/>
      <c r="CP150" s="9"/>
      <c r="CQ150" s="126"/>
      <c r="CR150" s="126"/>
      <c r="CS150" s="126"/>
      <c r="CT150" s="126"/>
      <c r="CU150" s="126"/>
      <c r="CV150" s="9"/>
      <c r="CW150" s="9"/>
      <c r="CX150" s="127"/>
      <c r="CY150" s="67"/>
      <c r="CZ150" s="67"/>
    </row>
    <row r="151" spans="1:104" x14ac:dyDescent="0.35">
      <c r="A151" s="143">
        <v>170</v>
      </c>
      <c r="B151" s="116" t="s">
        <v>599</v>
      </c>
      <c r="C151" s="144">
        <v>1986509.9961104628</v>
      </c>
      <c r="D151" s="144">
        <v>158669.32</v>
      </c>
      <c r="E151" s="144">
        <v>96696.54</v>
      </c>
      <c r="F151" s="145">
        <f t="shared" si="69"/>
        <v>255365.86</v>
      </c>
      <c r="G151" s="144"/>
      <c r="H151" s="144"/>
      <c r="I151" s="145"/>
      <c r="J151" s="144">
        <v>30731.13</v>
      </c>
      <c r="K151" s="144">
        <v>18116.59</v>
      </c>
      <c r="L151" s="145">
        <f t="shared" si="70"/>
        <v>48847.72</v>
      </c>
      <c r="M151" s="146">
        <v>33808.589999999997</v>
      </c>
      <c r="N151" s="146">
        <v>23887.94</v>
      </c>
      <c r="O151" s="145">
        <f t="shared" si="71"/>
        <v>57696.53</v>
      </c>
      <c r="P151" s="144">
        <v>209925.55</v>
      </c>
      <c r="Q151" s="144">
        <v>148325.85999999999</v>
      </c>
      <c r="R151" s="147">
        <f t="shared" si="72"/>
        <v>358251.41</v>
      </c>
      <c r="S151" s="117">
        <v>0</v>
      </c>
      <c r="T151" s="117">
        <v>0</v>
      </c>
      <c r="U151" s="146">
        <v>0</v>
      </c>
      <c r="V151" s="146">
        <v>0</v>
      </c>
      <c r="W151" s="4"/>
      <c r="X151" s="4"/>
      <c r="Y151" s="4"/>
      <c r="Z151" s="4"/>
      <c r="AA151" s="4"/>
      <c r="AB151" s="4"/>
      <c r="AC151" s="4"/>
      <c r="AD151" s="4"/>
      <c r="AE151" s="4"/>
      <c r="AF151" s="118">
        <f t="shared" si="73"/>
        <v>48847.72</v>
      </c>
      <c r="AG151" s="112">
        <f t="shared" si="73"/>
        <v>33808.589999999997</v>
      </c>
      <c r="AH151" s="112">
        <f t="shared" si="73"/>
        <v>23887.94</v>
      </c>
      <c r="AI151" s="10">
        <f t="shared" si="74"/>
        <v>34102.122486979992</v>
      </c>
      <c r="AJ151" s="10">
        <f t="shared" si="75"/>
        <v>11951.190062489997</v>
      </c>
      <c r="AK151" s="10">
        <f t="shared" si="76"/>
        <v>107.48863539</v>
      </c>
      <c r="AL151" s="10">
        <f t="shared" si="77"/>
        <v>11535.728815139999</v>
      </c>
      <c r="AM151" s="10">
        <f t="shared" si="78"/>
        <v>0</v>
      </c>
      <c r="AN151" s="9">
        <f t="shared" si="79"/>
        <v>0</v>
      </c>
      <c r="AO151" s="10">
        <f t="shared" si="80"/>
        <v>0</v>
      </c>
      <c r="AP151" s="66">
        <f t="shared" si="81"/>
        <v>154291.78134797141</v>
      </c>
      <c r="AQ151" s="66">
        <f t="shared" si="82"/>
        <v>52429.926472756903</v>
      </c>
      <c r="AR151" s="66">
        <f t="shared" si="83"/>
        <v>488.47757583313876</v>
      </c>
      <c r="AS151" s="66">
        <f t="shared" si="84"/>
        <v>12211.939395828471</v>
      </c>
      <c r="AT151" s="66"/>
      <c r="AU151" s="4"/>
      <c r="AV151" s="4"/>
      <c r="AW151" s="4"/>
      <c r="AX151" s="4"/>
      <c r="AY151" s="4"/>
      <c r="AZ151" s="4"/>
      <c r="BA151" s="4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9">
        <f t="shared" si="68"/>
        <v>325966.37479238992</v>
      </c>
      <c r="BN151" s="9">
        <f t="shared" si="97"/>
        <v>252359.5591228483</v>
      </c>
      <c r="BO151" s="9">
        <f t="shared" si="85"/>
        <v>73010.849458318466</v>
      </c>
      <c r="BP151" s="9">
        <f t="shared" si="86"/>
        <v>595.96621122313877</v>
      </c>
      <c r="BQ151" s="10">
        <f t="shared" si="87"/>
        <v>0</v>
      </c>
      <c r="BR151" s="9">
        <f t="shared" si="88"/>
        <v>325966.37479238992</v>
      </c>
      <c r="BS151" s="142">
        <f t="shared" si="98"/>
        <v>206721.7078207283</v>
      </c>
      <c r="BT151" s="83">
        <f t="shared" si="89"/>
        <v>206722</v>
      </c>
      <c r="BU151" s="175">
        <f t="shared" si="90"/>
        <v>2.0184794891255967E-4</v>
      </c>
      <c r="BV151" s="173">
        <f t="shared" si="91"/>
        <v>48847.72</v>
      </c>
      <c r="BW151" s="176">
        <f t="shared" si="92"/>
        <v>2.8479817190049498E-4</v>
      </c>
      <c r="BX151" s="177">
        <f t="shared" si="93"/>
        <v>0</v>
      </c>
      <c r="BY151" s="178">
        <f t="shared" si="94"/>
        <v>0</v>
      </c>
      <c r="BZ151" s="4"/>
      <c r="CA151" s="4"/>
      <c r="CB151" s="4"/>
      <c r="CC151" s="4"/>
      <c r="CD151" s="4"/>
      <c r="CE151" s="4"/>
      <c r="CF151" s="4"/>
      <c r="CG151" s="126">
        <f t="shared" si="95"/>
        <v>180871.8081501</v>
      </c>
      <c r="CH151" s="126">
        <f t="shared" si="96"/>
        <v>74494.051849900003</v>
      </c>
      <c r="CI151" s="126"/>
      <c r="CJ151" s="126"/>
      <c r="CK151" s="9"/>
      <c r="CL151" s="9"/>
      <c r="CM151" s="127"/>
      <c r="CN151" s="9"/>
      <c r="CO151" s="9"/>
      <c r="CP151" s="9"/>
      <c r="CQ151" s="126"/>
      <c r="CR151" s="126"/>
      <c r="CS151" s="126"/>
      <c r="CT151" s="126"/>
      <c r="CU151" s="126"/>
      <c r="CV151" s="9"/>
      <c r="CW151" s="9"/>
      <c r="CX151" s="127"/>
      <c r="CY151" s="67"/>
      <c r="CZ151" s="67"/>
    </row>
    <row r="152" spans="1:104" x14ac:dyDescent="0.35">
      <c r="A152" s="143">
        <v>173</v>
      </c>
      <c r="B152" s="116" t="s">
        <v>600</v>
      </c>
      <c r="C152" s="144">
        <v>11015430.571761962</v>
      </c>
      <c r="D152" s="144">
        <v>1095522.19</v>
      </c>
      <c r="E152" s="144">
        <v>320511.40999999997</v>
      </c>
      <c r="F152" s="145">
        <f t="shared" si="69"/>
        <v>1416033.5999999999</v>
      </c>
      <c r="G152" s="144"/>
      <c r="H152" s="144"/>
      <c r="I152" s="145"/>
      <c r="J152" s="144">
        <v>242911.43</v>
      </c>
      <c r="K152" s="144">
        <v>57672.4</v>
      </c>
      <c r="L152" s="145">
        <f t="shared" si="70"/>
        <v>300583.83</v>
      </c>
      <c r="M152" s="146">
        <v>68464.98</v>
      </c>
      <c r="N152" s="146">
        <v>91939.520000000004</v>
      </c>
      <c r="O152" s="145">
        <f t="shared" si="71"/>
        <v>160404.5</v>
      </c>
      <c r="P152" s="144">
        <v>425116.11</v>
      </c>
      <c r="Q152" s="144">
        <v>570877.84</v>
      </c>
      <c r="R152" s="147">
        <f t="shared" si="72"/>
        <v>995993.95</v>
      </c>
      <c r="S152" s="117">
        <v>0</v>
      </c>
      <c r="T152" s="117">
        <v>0</v>
      </c>
      <c r="U152" s="146">
        <v>0</v>
      </c>
      <c r="V152" s="146">
        <v>0</v>
      </c>
      <c r="W152" s="4"/>
      <c r="X152" s="4"/>
      <c r="Y152" s="4"/>
      <c r="Z152" s="4"/>
      <c r="AA152" s="4"/>
      <c r="AB152" s="4"/>
      <c r="AC152" s="4"/>
      <c r="AD152" s="4"/>
      <c r="AE152" s="4"/>
      <c r="AF152" s="118">
        <f t="shared" si="73"/>
        <v>300583.83</v>
      </c>
      <c r="AG152" s="112">
        <f t="shared" si="73"/>
        <v>68464.98</v>
      </c>
      <c r="AH152" s="112">
        <f t="shared" si="73"/>
        <v>91939.520000000004</v>
      </c>
      <c r="AI152" s="10">
        <f t="shared" si="74"/>
        <v>96393.805499359994</v>
      </c>
      <c r="AJ152" s="10">
        <f t="shared" si="75"/>
        <v>31640.905996139998</v>
      </c>
      <c r="AK152" s="10">
        <f t="shared" si="76"/>
        <v>298.83358350000003</v>
      </c>
      <c r="AL152" s="10">
        <f t="shared" si="77"/>
        <v>32070.954920999997</v>
      </c>
      <c r="AM152" s="10">
        <f t="shared" si="78"/>
        <v>0</v>
      </c>
      <c r="AN152" s="9">
        <f t="shared" si="79"/>
        <v>0</v>
      </c>
      <c r="AO152" s="10">
        <f t="shared" si="80"/>
        <v>0</v>
      </c>
      <c r="AP152" s="66">
        <f t="shared" si="81"/>
        <v>931493.74670376407</v>
      </c>
      <c r="AQ152" s="66">
        <f t="shared" si="82"/>
        <v>322625.85922073509</v>
      </c>
      <c r="AR152" s="66">
        <f t="shared" si="83"/>
        <v>3005.8309865285873</v>
      </c>
      <c r="AS152" s="66">
        <f t="shared" si="84"/>
        <v>75145.774663214688</v>
      </c>
      <c r="AT152" s="66"/>
      <c r="AU152" s="4"/>
      <c r="AV152" s="4"/>
      <c r="AW152" s="4"/>
      <c r="AX152" s="4"/>
      <c r="AY152" s="4"/>
      <c r="AZ152" s="4"/>
      <c r="BA152" s="4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9">
        <f t="shared" si="68"/>
        <v>1793259.5415742425</v>
      </c>
      <c r="BN152" s="9">
        <f t="shared" si="97"/>
        <v>1382584.3663448591</v>
      </c>
      <c r="BO152" s="9">
        <f t="shared" si="85"/>
        <v>407370.51065935468</v>
      </c>
      <c r="BP152" s="9">
        <f t="shared" si="86"/>
        <v>3304.6645700285871</v>
      </c>
      <c r="BQ152" s="10">
        <f t="shared" si="87"/>
        <v>0</v>
      </c>
      <c r="BR152" s="9">
        <f t="shared" si="88"/>
        <v>1793259.5415742425</v>
      </c>
      <c r="BS152" s="142">
        <f t="shared" si="98"/>
        <v>1254119.6059244992</v>
      </c>
      <c r="BT152" s="83">
        <f t="shared" si="89"/>
        <v>1254120</v>
      </c>
      <c r="BU152" s="175">
        <f t="shared" si="90"/>
        <v>1.2245519486826961E-3</v>
      </c>
      <c r="BV152" s="173">
        <f t="shared" si="91"/>
        <v>300583.83</v>
      </c>
      <c r="BW152" s="176">
        <f t="shared" si="92"/>
        <v>1.7525019650220964E-3</v>
      </c>
      <c r="BX152" s="177">
        <f t="shared" si="93"/>
        <v>0</v>
      </c>
      <c r="BY152" s="178">
        <f t="shared" si="94"/>
        <v>0</v>
      </c>
      <c r="BZ152" s="4"/>
      <c r="CA152" s="4"/>
      <c r="CB152" s="4"/>
      <c r="CC152" s="4"/>
      <c r="CD152" s="4"/>
      <c r="CE152" s="4"/>
      <c r="CF152" s="4"/>
      <c r="CG152" s="126">
        <f t="shared" si="95"/>
        <v>1002955.3583760001</v>
      </c>
      <c r="CH152" s="126">
        <f t="shared" si="96"/>
        <v>413078.24162400002</v>
      </c>
      <c r="CI152" s="126"/>
      <c r="CJ152" s="126"/>
      <c r="CK152" s="9"/>
      <c r="CL152" s="9"/>
      <c r="CM152" s="127"/>
      <c r="CN152" s="9"/>
      <c r="CO152" s="9"/>
      <c r="CP152" s="9"/>
      <c r="CQ152" s="126"/>
      <c r="CR152" s="126"/>
      <c r="CS152" s="126"/>
      <c r="CT152" s="126"/>
      <c r="CU152" s="126"/>
      <c r="CV152" s="9"/>
      <c r="CW152" s="9"/>
      <c r="CX152" s="127"/>
      <c r="CY152" s="67"/>
      <c r="CZ152" s="67"/>
    </row>
    <row r="153" spans="1:104" x14ac:dyDescent="0.35">
      <c r="A153" s="143">
        <v>180</v>
      </c>
      <c r="B153" s="116" t="s">
        <v>601</v>
      </c>
      <c r="C153" s="144">
        <v>3079162.8938156362</v>
      </c>
      <c r="D153" s="144">
        <v>335269.98</v>
      </c>
      <c r="E153" s="144">
        <v>60556.41</v>
      </c>
      <c r="F153" s="145">
        <f t="shared" si="69"/>
        <v>395826.39</v>
      </c>
      <c r="G153" s="144"/>
      <c r="H153" s="144"/>
      <c r="I153" s="145"/>
      <c r="J153" s="144">
        <v>72246.14</v>
      </c>
      <c r="K153" s="144">
        <v>12107.24</v>
      </c>
      <c r="L153" s="145">
        <f t="shared" si="70"/>
        <v>84353.38</v>
      </c>
      <c r="M153" s="146">
        <v>32194.68</v>
      </c>
      <c r="N153" s="146">
        <v>10870.26</v>
      </c>
      <c r="O153" s="145">
        <f t="shared" si="71"/>
        <v>43064.94</v>
      </c>
      <c r="P153" s="144">
        <v>199905.71</v>
      </c>
      <c r="Q153" s="144">
        <v>67497.240000000005</v>
      </c>
      <c r="R153" s="147">
        <f t="shared" si="72"/>
        <v>267402.95</v>
      </c>
      <c r="S153" s="117">
        <v>10003.5</v>
      </c>
      <c r="T153" s="117">
        <v>0</v>
      </c>
      <c r="U153" s="146">
        <v>0</v>
      </c>
      <c r="V153" s="146">
        <v>0</v>
      </c>
      <c r="W153" s="4"/>
      <c r="X153" s="4"/>
      <c r="Y153" s="4"/>
      <c r="Z153" s="4"/>
      <c r="AA153" s="4"/>
      <c r="AB153" s="4"/>
      <c r="AC153" s="4"/>
      <c r="AD153" s="4"/>
      <c r="AE153" s="4"/>
      <c r="AF153" s="118">
        <f t="shared" si="73"/>
        <v>84353.38</v>
      </c>
      <c r="AG153" s="112">
        <f t="shared" si="73"/>
        <v>32194.68</v>
      </c>
      <c r="AH153" s="112">
        <f t="shared" si="73"/>
        <v>10870.26</v>
      </c>
      <c r="AI153" s="10">
        <f t="shared" si="74"/>
        <v>25021.817013060001</v>
      </c>
      <c r="AJ153" s="10">
        <f t="shared" si="75"/>
        <v>9352.57503</v>
      </c>
      <c r="AK153" s="10">
        <f t="shared" si="76"/>
        <v>80.229983220000008</v>
      </c>
      <c r="AL153" s="10">
        <f t="shared" si="77"/>
        <v>8610.3179737200007</v>
      </c>
      <c r="AM153" s="10">
        <f t="shared" si="78"/>
        <v>10003.5</v>
      </c>
      <c r="AN153" s="9">
        <f t="shared" si="79"/>
        <v>0</v>
      </c>
      <c r="AO153" s="10">
        <f t="shared" si="80"/>
        <v>0</v>
      </c>
      <c r="AP153" s="66">
        <f t="shared" si="81"/>
        <v>260046.49860576724</v>
      </c>
      <c r="AQ153" s="66">
        <f t="shared" si="82"/>
        <v>90538.670190863486</v>
      </c>
      <c r="AR153" s="66">
        <f t="shared" si="83"/>
        <v>843.52798314469078</v>
      </c>
      <c r="AS153" s="66">
        <f t="shared" si="84"/>
        <v>21088.19957861727</v>
      </c>
      <c r="AT153" s="66"/>
      <c r="AU153" s="4"/>
      <c r="AV153" s="4"/>
      <c r="AW153" s="4"/>
      <c r="AX153" s="4"/>
      <c r="AY153" s="4"/>
      <c r="AZ153" s="4"/>
      <c r="BA153" s="4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9">
        <f t="shared" si="68"/>
        <v>509938.71635839267</v>
      </c>
      <c r="BN153" s="9">
        <f t="shared" si="97"/>
        <v>394220.80378341075</v>
      </c>
      <c r="BO153" s="9">
        <f t="shared" si="85"/>
        <v>114794.15460861727</v>
      </c>
      <c r="BP153" s="9">
        <f t="shared" si="86"/>
        <v>923.75796636469079</v>
      </c>
      <c r="BQ153" s="10">
        <f t="shared" si="87"/>
        <v>0</v>
      </c>
      <c r="BR153" s="9">
        <f t="shared" si="88"/>
        <v>509938.71635839267</v>
      </c>
      <c r="BS153" s="142">
        <f t="shared" si="98"/>
        <v>350585.16879663069</v>
      </c>
      <c r="BT153" s="83">
        <f t="shared" si="89"/>
        <v>350585</v>
      </c>
      <c r="BU153" s="175">
        <f t="shared" si="90"/>
        <v>3.4231962374329665E-4</v>
      </c>
      <c r="BV153" s="173">
        <f t="shared" si="91"/>
        <v>84353.38</v>
      </c>
      <c r="BW153" s="176">
        <f t="shared" si="92"/>
        <v>4.9180777357935588E-4</v>
      </c>
      <c r="BX153" s="177">
        <f t="shared" si="93"/>
        <v>0</v>
      </c>
      <c r="BY153" s="178">
        <f t="shared" si="94"/>
        <v>0</v>
      </c>
      <c r="BZ153" s="4"/>
      <c r="CA153" s="4"/>
      <c r="CB153" s="4"/>
      <c r="CC153" s="4"/>
      <c r="CD153" s="4"/>
      <c r="CE153" s="4"/>
      <c r="CF153" s="4"/>
      <c r="CG153" s="126">
        <f t="shared" si="95"/>
        <v>280357.89464115002</v>
      </c>
      <c r="CH153" s="126">
        <f t="shared" si="96"/>
        <v>115468.49535884999</v>
      </c>
      <c r="CI153" s="126"/>
      <c r="CJ153" s="126"/>
      <c r="CK153" s="9"/>
      <c r="CL153" s="9"/>
      <c r="CM153" s="127"/>
      <c r="CN153" s="9"/>
      <c r="CO153" s="9"/>
      <c r="CP153" s="9"/>
      <c r="CQ153" s="126"/>
      <c r="CR153" s="126"/>
      <c r="CS153" s="126"/>
      <c r="CT153" s="126"/>
      <c r="CU153" s="126"/>
      <c r="CV153" s="9"/>
      <c r="CW153" s="9"/>
      <c r="CX153" s="127"/>
      <c r="CY153" s="67"/>
      <c r="CZ153" s="67"/>
    </row>
    <row r="154" spans="1:104" x14ac:dyDescent="0.35">
      <c r="A154" s="143">
        <v>182</v>
      </c>
      <c r="B154" s="116" t="s">
        <v>602</v>
      </c>
      <c r="C154" s="144">
        <v>4701429.9494360164</v>
      </c>
      <c r="D154" s="144">
        <v>416477.53</v>
      </c>
      <c r="E154" s="144">
        <v>187891.29</v>
      </c>
      <c r="F154" s="145">
        <f t="shared" si="69"/>
        <v>604368.82000000007</v>
      </c>
      <c r="G154" s="144"/>
      <c r="H154" s="144"/>
      <c r="I154" s="145"/>
      <c r="J154" s="144">
        <v>84474.65</v>
      </c>
      <c r="K154" s="144">
        <v>42376.68</v>
      </c>
      <c r="L154" s="145">
        <f t="shared" si="70"/>
        <v>126851.32999999999</v>
      </c>
      <c r="M154" s="146">
        <v>68283.42</v>
      </c>
      <c r="N154" s="146">
        <v>7901.99</v>
      </c>
      <c r="O154" s="145">
        <f t="shared" si="71"/>
        <v>76185.41</v>
      </c>
      <c r="P154" s="144">
        <v>423988.94</v>
      </c>
      <c r="Q154" s="144">
        <v>49065.440000000002</v>
      </c>
      <c r="R154" s="147">
        <f t="shared" si="72"/>
        <v>473054.38</v>
      </c>
      <c r="S154" s="117">
        <v>0</v>
      </c>
      <c r="T154" s="117">
        <v>0</v>
      </c>
      <c r="U154" s="146">
        <v>0</v>
      </c>
      <c r="V154" s="146">
        <v>0</v>
      </c>
      <c r="W154" s="4"/>
      <c r="X154" s="4"/>
      <c r="Y154" s="4"/>
      <c r="Z154" s="4"/>
      <c r="AA154" s="4"/>
      <c r="AB154" s="4"/>
      <c r="AC154" s="4"/>
      <c r="AD154" s="4"/>
      <c r="AE154" s="4"/>
      <c r="AF154" s="118">
        <f t="shared" si="73"/>
        <v>126851.32999999999</v>
      </c>
      <c r="AG154" s="112">
        <f t="shared" si="73"/>
        <v>68283.42</v>
      </c>
      <c r="AH154" s="112">
        <f t="shared" si="73"/>
        <v>7901.99</v>
      </c>
      <c r="AI154" s="10">
        <f t="shared" si="74"/>
        <v>43562.232179389997</v>
      </c>
      <c r="AJ154" s="10">
        <f t="shared" si="75"/>
        <v>17248.885897200002</v>
      </c>
      <c r="AK154" s="10">
        <f t="shared" si="76"/>
        <v>141.93341882999999</v>
      </c>
      <c r="AL154" s="10">
        <f t="shared" si="77"/>
        <v>15232.358504580001</v>
      </c>
      <c r="AM154" s="10">
        <f t="shared" si="78"/>
        <v>0</v>
      </c>
      <c r="AN154" s="9">
        <f t="shared" si="79"/>
        <v>0</v>
      </c>
      <c r="AO154" s="10">
        <f t="shared" si="80"/>
        <v>0</v>
      </c>
      <c r="AP154" s="66">
        <f t="shared" si="81"/>
        <v>399119.1442309884</v>
      </c>
      <c r="AQ154" s="66">
        <f t="shared" si="82"/>
        <v>136153.69333583978</v>
      </c>
      <c r="AR154" s="66">
        <f t="shared" si="83"/>
        <v>1268.5126708308053</v>
      </c>
      <c r="AS154" s="66">
        <f t="shared" si="84"/>
        <v>31712.816770770129</v>
      </c>
      <c r="AT154" s="66"/>
      <c r="AU154" s="4"/>
      <c r="AV154" s="4"/>
      <c r="AW154" s="4"/>
      <c r="AX154" s="4"/>
      <c r="AY154" s="4"/>
      <c r="AZ154" s="4"/>
      <c r="BA154" s="4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9">
        <f t="shared" si="68"/>
        <v>771290.90700842906</v>
      </c>
      <c r="BN154" s="9">
        <f t="shared" si="97"/>
        <v>594067.42825079826</v>
      </c>
      <c r="BO154" s="9">
        <f t="shared" si="85"/>
        <v>175813.03266797011</v>
      </c>
      <c r="BP154" s="9">
        <f t="shared" si="86"/>
        <v>1410.4460896608052</v>
      </c>
      <c r="BQ154" s="10">
        <f t="shared" si="87"/>
        <v>0</v>
      </c>
      <c r="BR154" s="9">
        <f t="shared" si="88"/>
        <v>771290.90700842906</v>
      </c>
      <c r="BS154" s="142">
        <f t="shared" si="98"/>
        <v>535272.83756682812</v>
      </c>
      <c r="BT154" s="83">
        <f t="shared" si="89"/>
        <v>535273</v>
      </c>
      <c r="BU154" s="175">
        <f t="shared" si="90"/>
        <v>5.2265301748168058E-4</v>
      </c>
      <c r="BV154" s="173">
        <f t="shared" si="91"/>
        <v>126851.32999999999</v>
      </c>
      <c r="BW154" s="176">
        <f t="shared" si="92"/>
        <v>7.3958471116249461E-4</v>
      </c>
      <c r="BX154" s="177">
        <f t="shared" si="93"/>
        <v>0</v>
      </c>
      <c r="BY154" s="178">
        <f t="shared" si="94"/>
        <v>0</v>
      </c>
      <c r="BZ154" s="4"/>
      <c r="CA154" s="4"/>
      <c r="CB154" s="4"/>
      <c r="CC154" s="4"/>
      <c r="CD154" s="4"/>
      <c r="CE154" s="4"/>
      <c r="CF154" s="4"/>
      <c r="CG154" s="126">
        <f t="shared" si="95"/>
        <v>428065.36967370007</v>
      </c>
      <c r="CH154" s="126">
        <f t="shared" si="96"/>
        <v>176303.45032629999</v>
      </c>
      <c r="CI154" s="126"/>
      <c r="CJ154" s="126"/>
      <c r="CK154" s="9"/>
      <c r="CL154" s="9"/>
      <c r="CM154" s="127"/>
      <c r="CN154" s="9"/>
      <c r="CO154" s="9"/>
      <c r="CP154" s="9"/>
      <c r="CQ154" s="126"/>
      <c r="CR154" s="126"/>
      <c r="CS154" s="126"/>
      <c r="CT154" s="126"/>
      <c r="CU154" s="126"/>
      <c r="CV154" s="9"/>
      <c r="CW154" s="9"/>
      <c r="CX154" s="127"/>
      <c r="CY154" s="67"/>
      <c r="CZ154" s="67"/>
    </row>
    <row r="155" spans="1:104" x14ac:dyDescent="0.35">
      <c r="A155" s="143">
        <v>190</v>
      </c>
      <c r="B155" s="116" t="s">
        <v>603</v>
      </c>
      <c r="C155" s="144">
        <v>1509742.5904317386</v>
      </c>
      <c r="D155" s="144">
        <v>162851.20000000001</v>
      </c>
      <c r="E155" s="144">
        <v>31226.21</v>
      </c>
      <c r="F155" s="145">
        <f t="shared" si="69"/>
        <v>194077.41</v>
      </c>
      <c r="G155" s="144"/>
      <c r="H155" s="144"/>
      <c r="I155" s="145"/>
      <c r="J155" s="144">
        <v>27403.759999999998</v>
      </c>
      <c r="K155" s="144">
        <v>5778.75</v>
      </c>
      <c r="L155" s="145">
        <f t="shared" si="70"/>
        <v>33182.509999999995</v>
      </c>
      <c r="M155" s="146">
        <v>56913.89</v>
      </c>
      <c r="N155" s="146">
        <v>8100.43</v>
      </c>
      <c r="O155" s="145">
        <f t="shared" si="71"/>
        <v>65014.32</v>
      </c>
      <c r="P155" s="144">
        <v>353392.67</v>
      </c>
      <c r="Q155" s="144">
        <v>50297.75</v>
      </c>
      <c r="R155" s="147">
        <f t="shared" si="72"/>
        <v>403690.42</v>
      </c>
      <c r="S155" s="117">
        <v>0</v>
      </c>
      <c r="T155" s="117">
        <v>0</v>
      </c>
      <c r="U155" s="146">
        <v>0</v>
      </c>
      <c r="V155" s="146">
        <v>0</v>
      </c>
      <c r="W155" s="4"/>
      <c r="X155" s="4"/>
      <c r="Y155" s="4"/>
      <c r="Z155" s="4"/>
      <c r="AA155" s="4"/>
      <c r="AB155" s="4"/>
      <c r="AC155" s="4"/>
      <c r="AD155" s="4"/>
      <c r="AE155" s="4"/>
      <c r="AF155" s="118">
        <f t="shared" si="73"/>
        <v>33182.509999999995</v>
      </c>
      <c r="AG155" s="112">
        <f t="shared" si="73"/>
        <v>56913.89</v>
      </c>
      <c r="AH155" s="112">
        <f t="shared" si="73"/>
        <v>8100.43</v>
      </c>
      <c r="AI155" s="10">
        <f t="shared" si="74"/>
        <v>37258.955840629998</v>
      </c>
      <c r="AJ155" s="10">
        <f t="shared" si="75"/>
        <v>14635.409369049999</v>
      </c>
      <c r="AK155" s="10">
        <f t="shared" si="76"/>
        <v>121.12167816</v>
      </c>
      <c r="AL155" s="10">
        <f t="shared" si="77"/>
        <v>12998.83311216</v>
      </c>
      <c r="AM155" s="10">
        <f t="shared" si="78"/>
        <v>0</v>
      </c>
      <c r="AN155" s="9">
        <f t="shared" si="79"/>
        <v>0</v>
      </c>
      <c r="AO155" s="10">
        <f t="shared" si="80"/>
        <v>0</v>
      </c>
      <c r="AP155" s="66">
        <f t="shared" si="81"/>
        <v>102632.18269171103</v>
      </c>
      <c r="AQ155" s="66">
        <f t="shared" si="82"/>
        <v>35614.879887901989</v>
      </c>
      <c r="AR155" s="66">
        <f t="shared" si="83"/>
        <v>331.8156511295216</v>
      </c>
      <c r="AS155" s="66">
        <f t="shared" si="84"/>
        <v>8295.3912782380412</v>
      </c>
      <c r="AT155" s="66"/>
      <c r="AU155" s="4"/>
      <c r="AV155" s="4"/>
      <c r="AW155" s="4"/>
      <c r="AX155" s="4"/>
      <c r="AY155" s="4"/>
      <c r="AZ155" s="4"/>
      <c r="BA155" s="4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9">
        <f t="shared" si="68"/>
        <v>245071.09950898058</v>
      </c>
      <c r="BN155" s="9">
        <f t="shared" si="97"/>
        <v>188504.85153240303</v>
      </c>
      <c r="BO155" s="9">
        <f t="shared" si="85"/>
        <v>56113.310647288039</v>
      </c>
      <c r="BP155" s="9">
        <f t="shared" si="86"/>
        <v>452.93732928952159</v>
      </c>
      <c r="BQ155" s="10">
        <f t="shared" si="87"/>
        <v>0</v>
      </c>
      <c r="BR155" s="9">
        <f t="shared" si="88"/>
        <v>245071.09950898061</v>
      </c>
      <c r="BS155" s="142">
        <f t="shared" si="98"/>
        <v>138247.062579613</v>
      </c>
      <c r="BT155" s="83">
        <f t="shared" si="89"/>
        <v>138247</v>
      </c>
      <c r="BU155" s="175">
        <f t="shared" si="90"/>
        <v>1.3498769103185157E-4</v>
      </c>
      <c r="BV155" s="173">
        <f t="shared" si="91"/>
        <v>33182.509999999995</v>
      </c>
      <c r="BW155" s="176">
        <f t="shared" si="92"/>
        <v>1.9346487793227385E-4</v>
      </c>
      <c r="BX155" s="177">
        <f t="shared" si="93"/>
        <v>0</v>
      </c>
      <c r="BY155" s="178">
        <f t="shared" si="94"/>
        <v>0</v>
      </c>
      <c r="BZ155" s="4"/>
      <c r="CA155" s="4"/>
      <c r="CB155" s="4"/>
      <c r="CC155" s="4"/>
      <c r="CD155" s="4"/>
      <c r="CE155" s="4"/>
      <c r="CF155" s="4"/>
      <c r="CG155" s="126">
        <f t="shared" si="95"/>
        <v>137462.11834185</v>
      </c>
      <c r="CH155" s="126">
        <f t="shared" si="96"/>
        <v>56615.291658150003</v>
      </c>
      <c r="CI155" s="126"/>
      <c r="CJ155" s="126"/>
      <c r="CK155" s="9"/>
      <c r="CL155" s="9"/>
      <c r="CM155" s="127"/>
      <c r="CN155" s="9"/>
      <c r="CO155" s="9"/>
      <c r="CP155" s="9"/>
      <c r="CQ155" s="126"/>
      <c r="CR155" s="126"/>
      <c r="CS155" s="126"/>
      <c r="CT155" s="126"/>
      <c r="CU155" s="126"/>
      <c r="CV155" s="9"/>
      <c r="CW155" s="9"/>
      <c r="CX155" s="127"/>
      <c r="CY155" s="67"/>
      <c r="CZ155" s="67"/>
    </row>
    <row r="156" spans="1:104" x14ac:dyDescent="0.35">
      <c r="A156" s="143">
        <v>191</v>
      </c>
      <c r="B156" s="116" t="s">
        <v>604</v>
      </c>
      <c r="C156" s="144">
        <v>2449937.9229871649</v>
      </c>
      <c r="D156" s="144">
        <v>238514.47</v>
      </c>
      <c r="E156" s="144">
        <v>76425.05</v>
      </c>
      <c r="F156" s="145">
        <f t="shared" si="69"/>
        <v>314939.52000000002</v>
      </c>
      <c r="G156" s="144"/>
      <c r="H156" s="144"/>
      <c r="I156" s="145"/>
      <c r="J156" s="144">
        <v>45337.09</v>
      </c>
      <c r="K156" s="144">
        <v>17134.46</v>
      </c>
      <c r="L156" s="145">
        <f t="shared" si="70"/>
        <v>62471.549999999996</v>
      </c>
      <c r="M156" s="146">
        <v>55428.98</v>
      </c>
      <c r="N156" s="146">
        <v>3761.72</v>
      </c>
      <c r="O156" s="145">
        <f t="shared" si="71"/>
        <v>59190.700000000004</v>
      </c>
      <c r="P156" s="144">
        <v>344172.65</v>
      </c>
      <c r="Q156" s="144">
        <v>23357.98</v>
      </c>
      <c r="R156" s="147">
        <f t="shared" si="72"/>
        <v>367530.63</v>
      </c>
      <c r="S156" s="117">
        <v>0</v>
      </c>
      <c r="T156" s="117">
        <v>0</v>
      </c>
      <c r="U156" s="146">
        <v>0</v>
      </c>
      <c r="V156" s="146">
        <v>0</v>
      </c>
      <c r="W156" s="4"/>
      <c r="X156" s="4"/>
      <c r="Y156" s="4"/>
      <c r="Z156" s="4"/>
      <c r="AA156" s="4"/>
      <c r="AB156" s="4"/>
      <c r="AC156" s="4"/>
      <c r="AD156" s="4"/>
      <c r="AE156" s="4"/>
      <c r="AF156" s="118">
        <f t="shared" si="73"/>
        <v>62471.549999999996</v>
      </c>
      <c r="AG156" s="112">
        <f t="shared" si="73"/>
        <v>55428.98</v>
      </c>
      <c r="AH156" s="112">
        <f t="shared" si="73"/>
        <v>3761.72</v>
      </c>
      <c r="AI156" s="10">
        <f t="shared" si="74"/>
        <v>33697.157106359999</v>
      </c>
      <c r="AJ156" s="10">
        <f t="shared" si="75"/>
        <v>13548.800442940001</v>
      </c>
      <c r="AK156" s="10">
        <f t="shared" si="76"/>
        <v>110.2722741</v>
      </c>
      <c r="AL156" s="10">
        <f t="shared" si="77"/>
        <v>11834.470176600002</v>
      </c>
      <c r="AM156" s="10">
        <f t="shared" si="78"/>
        <v>0</v>
      </c>
      <c r="AN156" s="9">
        <f t="shared" si="79"/>
        <v>0</v>
      </c>
      <c r="AO156" s="10">
        <f t="shared" si="80"/>
        <v>0</v>
      </c>
      <c r="AP156" s="66">
        <f t="shared" si="81"/>
        <v>195314.76564227289</v>
      </c>
      <c r="AQ156" s="66">
        <f t="shared" si="82"/>
        <v>67053.514834186703</v>
      </c>
      <c r="AR156" s="66">
        <f t="shared" si="83"/>
        <v>624.72218789614931</v>
      </c>
      <c r="AS156" s="66">
        <f t="shared" si="84"/>
        <v>15618.054697403733</v>
      </c>
      <c r="AT156" s="66"/>
      <c r="AU156" s="4"/>
      <c r="AV156" s="4"/>
      <c r="AW156" s="4"/>
      <c r="AX156" s="4"/>
      <c r="AY156" s="4"/>
      <c r="AZ156" s="4"/>
      <c r="BA156" s="4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9">
        <f t="shared" si="68"/>
        <v>400273.30736175948</v>
      </c>
      <c r="BN156" s="9">
        <f t="shared" si="97"/>
        <v>307899.90775941958</v>
      </c>
      <c r="BO156" s="9">
        <f t="shared" si="85"/>
        <v>91638.405140343719</v>
      </c>
      <c r="BP156" s="9">
        <f t="shared" si="86"/>
        <v>734.99446199614931</v>
      </c>
      <c r="BQ156" s="10">
        <f t="shared" si="87"/>
        <v>0</v>
      </c>
      <c r="BR156" s="9">
        <f t="shared" si="88"/>
        <v>400273.30736175942</v>
      </c>
      <c r="BS156" s="142">
        <f t="shared" si="98"/>
        <v>262368.28047645959</v>
      </c>
      <c r="BT156" s="83">
        <f t="shared" si="89"/>
        <v>262368</v>
      </c>
      <c r="BU156" s="175">
        <f t="shared" si="90"/>
        <v>2.5618257430329875E-4</v>
      </c>
      <c r="BV156" s="173">
        <f t="shared" si="91"/>
        <v>62471.549999999996</v>
      </c>
      <c r="BW156" s="176">
        <f t="shared" si="92"/>
        <v>3.6422955330955804E-4</v>
      </c>
      <c r="BX156" s="177">
        <f t="shared" si="93"/>
        <v>0</v>
      </c>
      <c r="BY156" s="178">
        <f t="shared" si="94"/>
        <v>0</v>
      </c>
      <c r="BZ156" s="4"/>
      <c r="CA156" s="4"/>
      <c r="CB156" s="4"/>
      <c r="CC156" s="4"/>
      <c r="CD156" s="4"/>
      <c r="CE156" s="4"/>
      <c r="CF156" s="4"/>
      <c r="CG156" s="126">
        <f t="shared" si="95"/>
        <v>223066.93792320002</v>
      </c>
      <c r="CH156" s="126">
        <f t="shared" si="96"/>
        <v>91872.582076799998</v>
      </c>
      <c r="CI156" s="126"/>
      <c r="CJ156" s="126"/>
      <c r="CK156" s="9"/>
      <c r="CL156" s="9"/>
      <c r="CM156" s="127"/>
      <c r="CN156" s="9"/>
      <c r="CO156" s="9"/>
      <c r="CP156" s="9"/>
      <c r="CQ156" s="126"/>
      <c r="CR156" s="126"/>
      <c r="CS156" s="126"/>
      <c r="CT156" s="126"/>
      <c r="CU156" s="126"/>
      <c r="CV156" s="9"/>
      <c r="CW156" s="9"/>
      <c r="CX156" s="127"/>
      <c r="CY156" s="67"/>
      <c r="CZ156" s="67"/>
    </row>
    <row r="157" spans="1:104" x14ac:dyDescent="0.35">
      <c r="A157" s="143">
        <v>206</v>
      </c>
      <c r="B157" s="116" t="s">
        <v>605</v>
      </c>
      <c r="C157" s="144">
        <v>4542668.4558537537</v>
      </c>
      <c r="D157" s="144">
        <v>408067.9</v>
      </c>
      <c r="E157" s="144">
        <v>175892.13</v>
      </c>
      <c r="F157" s="145">
        <f t="shared" si="69"/>
        <v>583960.03</v>
      </c>
      <c r="G157" s="144"/>
      <c r="H157" s="144"/>
      <c r="I157" s="145"/>
      <c r="J157" s="144">
        <v>88286.5</v>
      </c>
      <c r="K157" s="144">
        <v>37471.93</v>
      </c>
      <c r="L157" s="145">
        <f t="shared" si="70"/>
        <v>125758.43</v>
      </c>
      <c r="M157" s="146">
        <v>37284.15</v>
      </c>
      <c r="N157" s="146">
        <v>19196.45</v>
      </c>
      <c r="O157" s="145">
        <f t="shared" si="71"/>
        <v>56480.600000000006</v>
      </c>
      <c r="P157" s="144">
        <v>231507.04</v>
      </c>
      <c r="Q157" s="144">
        <v>119194.79</v>
      </c>
      <c r="R157" s="147">
        <f t="shared" si="72"/>
        <v>350701.83</v>
      </c>
      <c r="S157" s="117">
        <v>0</v>
      </c>
      <c r="T157" s="117">
        <v>0</v>
      </c>
      <c r="U157" s="146">
        <v>0</v>
      </c>
      <c r="V157" s="146">
        <v>0</v>
      </c>
      <c r="W157" s="4"/>
      <c r="X157" s="4"/>
      <c r="Y157" s="4"/>
      <c r="Z157" s="4"/>
      <c r="AA157" s="4"/>
      <c r="AB157" s="4"/>
      <c r="AC157" s="4"/>
      <c r="AD157" s="4"/>
      <c r="AE157" s="4"/>
      <c r="AF157" s="118">
        <f t="shared" si="73"/>
        <v>125758.43</v>
      </c>
      <c r="AG157" s="112">
        <f t="shared" si="73"/>
        <v>37284.15</v>
      </c>
      <c r="AH157" s="112">
        <f t="shared" si="73"/>
        <v>19196.45</v>
      </c>
      <c r="AI157" s="10">
        <f t="shared" si="74"/>
        <v>33123.385341050001</v>
      </c>
      <c r="AJ157" s="10">
        <f t="shared" si="75"/>
        <v>11959.373098349999</v>
      </c>
      <c r="AK157" s="10">
        <f t="shared" si="76"/>
        <v>105.22335780000002</v>
      </c>
      <c r="AL157" s="10">
        <f t="shared" si="77"/>
        <v>11292.6182028</v>
      </c>
      <c r="AM157" s="10">
        <f t="shared" si="78"/>
        <v>0</v>
      </c>
      <c r="AN157" s="9">
        <f t="shared" si="79"/>
        <v>0</v>
      </c>
      <c r="AO157" s="10">
        <f t="shared" si="80"/>
        <v>0</v>
      </c>
      <c r="AP157" s="66">
        <f t="shared" si="81"/>
        <v>394169.39284722816</v>
      </c>
      <c r="AQ157" s="66">
        <f t="shared" si="82"/>
        <v>134981.32535249088</v>
      </c>
      <c r="AR157" s="66">
        <f t="shared" si="83"/>
        <v>1257.589987756126</v>
      </c>
      <c r="AS157" s="66">
        <f t="shared" si="84"/>
        <v>31439.749693903152</v>
      </c>
      <c r="AT157" s="66"/>
      <c r="AU157" s="4"/>
      <c r="AV157" s="4"/>
      <c r="AW157" s="4"/>
      <c r="AX157" s="4"/>
      <c r="AY157" s="4"/>
      <c r="AZ157" s="4"/>
      <c r="BA157" s="4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9">
        <f t="shared" si="68"/>
        <v>744087.08788137836</v>
      </c>
      <c r="BN157" s="9">
        <f t="shared" si="97"/>
        <v>573566.72174356901</v>
      </c>
      <c r="BO157" s="9">
        <f t="shared" si="85"/>
        <v>169157.55279225315</v>
      </c>
      <c r="BP157" s="9">
        <f t="shared" si="86"/>
        <v>1362.813345556126</v>
      </c>
      <c r="BQ157" s="10">
        <f t="shared" si="87"/>
        <v>0</v>
      </c>
      <c r="BR157" s="9">
        <f t="shared" si="88"/>
        <v>744087.08788137836</v>
      </c>
      <c r="BS157" s="142">
        <f t="shared" si="98"/>
        <v>529150.71819971898</v>
      </c>
      <c r="BT157" s="83">
        <f t="shared" si="89"/>
        <v>529151</v>
      </c>
      <c r="BU157" s="175">
        <f t="shared" si="90"/>
        <v>5.1667523580468087E-4</v>
      </c>
      <c r="BV157" s="173">
        <f t="shared" si="91"/>
        <v>125758.43</v>
      </c>
      <c r="BW157" s="176">
        <f t="shared" si="92"/>
        <v>7.3321274698340808E-4</v>
      </c>
      <c r="BX157" s="177">
        <f t="shared" si="93"/>
        <v>0</v>
      </c>
      <c r="BY157" s="178">
        <f t="shared" si="94"/>
        <v>0</v>
      </c>
      <c r="BZ157" s="4"/>
      <c r="CA157" s="4"/>
      <c r="CB157" s="4"/>
      <c r="CC157" s="4"/>
      <c r="CD157" s="4"/>
      <c r="CE157" s="4"/>
      <c r="CF157" s="4"/>
      <c r="CG157" s="126">
        <f t="shared" si="95"/>
        <v>413610.12984855007</v>
      </c>
      <c r="CH157" s="126">
        <f t="shared" si="96"/>
        <v>170349.90015145001</v>
      </c>
      <c r="CI157" s="126"/>
      <c r="CJ157" s="126"/>
      <c r="CK157" s="9"/>
      <c r="CL157" s="9"/>
      <c r="CM157" s="127"/>
      <c r="CN157" s="9"/>
      <c r="CO157" s="9"/>
      <c r="CP157" s="9"/>
      <c r="CQ157" s="126"/>
      <c r="CR157" s="126"/>
      <c r="CS157" s="126"/>
      <c r="CT157" s="126"/>
      <c r="CU157" s="126"/>
      <c r="CV157" s="9"/>
      <c r="CW157" s="9"/>
      <c r="CX157" s="127"/>
      <c r="CY157" s="67"/>
      <c r="CZ157" s="67"/>
    </row>
    <row r="158" spans="1:104" x14ac:dyDescent="0.35">
      <c r="A158" s="143">
        <v>210</v>
      </c>
      <c r="B158" s="116" t="s">
        <v>606</v>
      </c>
      <c r="C158" s="144">
        <v>7505857.3317775186</v>
      </c>
      <c r="D158" s="144">
        <v>695574.73</v>
      </c>
      <c r="E158" s="144">
        <v>269303.23</v>
      </c>
      <c r="F158" s="145">
        <f t="shared" si="69"/>
        <v>964877.96</v>
      </c>
      <c r="G158" s="144"/>
      <c r="H158" s="144"/>
      <c r="I158" s="145"/>
      <c r="J158" s="144">
        <v>147142.51999999999</v>
      </c>
      <c r="K158" s="144">
        <v>56607.97</v>
      </c>
      <c r="L158" s="145">
        <f t="shared" si="70"/>
        <v>203750.49</v>
      </c>
      <c r="M158" s="146">
        <v>81520.62</v>
      </c>
      <c r="N158" s="146">
        <v>33498.29</v>
      </c>
      <c r="O158" s="145">
        <f t="shared" si="71"/>
        <v>115018.91</v>
      </c>
      <c r="P158" s="144">
        <v>506182.37</v>
      </c>
      <c r="Q158" s="144">
        <v>207999.08</v>
      </c>
      <c r="R158" s="147">
        <f t="shared" si="72"/>
        <v>714181.45</v>
      </c>
      <c r="S158" s="117">
        <v>0</v>
      </c>
      <c r="T158" s="117">
        <v>0</v>
      </c>
      <c r="U158" s="146">
        <v>0</v>
      </c>
      <c r="V158" s="146">
        <v>0</v>
      </c>
      <c r="W158" s="4"/>
      <c r="X158" s="4"/>
      <c r="Y158" s="4"/>
      <c r="Z158" s="4"/>
      <c r="AA158" s="4"/>
      <c r="AB158" s="4"/>
      <c r="AC158" s="4"/>
      <c r="AD158" s="4"/>
      <c r="AE158" s="4"/>
      <c r="AF158" s="118">
        <f t="shared" si="73"/>
        <v>203750.49</v>
      </c>
      <c r="AG158" s="112">
        <f t="shared" si="73"/>
        <v>81520.62</v>
      </c>
      <c r="AH158" s="112">
        <f t="shared" si="73"/>
        <v>33498.29</v>
      </c>
      <c r="AI158" s="10">
        <f t="shared" si="74"/>
        <v>67106.18012728999</v>
      </c>
      <c r="AJ158" s="10">
        <f t="shared" si="75"/>
        <v>24701.798815799997</v>
      </c>
      <c r="AK158" s="10">
        <f t="shared" si="76"/>
        <v>214.28022933</v>
      </c>
      <c r="AL158" s="10">
        <f t="shared" si="77"/>
        <v>22996.650827580001</v>
      </c>
      <c r="AM158" s="10">
        <f t="shared" si="78"/>
        <v>0</v>
      </c>
      <c r="AN158" s="9">
        <f t="shared" si="79"/>
        <v>0</v>
      </c>
      <c r="AO158" s="10">
        <f t="shared" si="80"/>
        <v>0</v>
      </c>
      <c r="AP158" s="66">
        <f t="shared" si="81"/>
        <v>637251.39656334207</v>
      </c>
      <c r="AQ158" s="66">
        <f t="shared" si="82"/>
        <v>218691.9633932361</v>
      </c>
      <c r="AR158" s="66">
        <f t="shared" si="83"/>
        <v>2037.5027645332552</v>
      </c>
      <c r="AS158" s="66">
        <f t="shared" si="84"/>
        <v>50937.569113331381</v>
      </c>
      <c r="AT158" s="66"/>
      <c r="AU158" s="4"/>
      <c r="AV158" s="4"/>
      <c r="AW158" s="4"/>
      <c r="AX158" s="4"/>
      <c r="AY158" s="4"/>
      <c r="AZ158" s="4"/>
      <c r="BA158" s="4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9">
        <f t="shared" si="68"/>
        <v>1227687.8318344429</v>
      </c>
      <c r="BN158" s="9">
        <f t="shared" si="97"/>
        <v>946046.19091144809</v>
      </c>
      <c r="BO158" s="9">
        <f t="shared" si="85"/>
        <v>279389.85792913137</v>
      </c>
      <c r="BP158" s="9">
        <f t="shared" si="86"/>
        <v>2251.7829938632553</v>
      </c>
      <c r="BQ158" s="10">
        <f t="shared" si="87"/>
        <v>0</v>
      </c>
      <c r="BR158" s="9">
        <f t="shared" si="88"/>
        <v>1227687.8318344429</v>
      </c>
      <c r="BS158" s="142">
        <f t="shared" si="98"/>
        <v>855943.35995657812</v>
      </c>
      <c r="BT158" s="83">
        <f t="shared" si="89"/>
        <v>855943</v>
      </c>
      <c r="BU158" s="175">
        <f t="shared" si="90"/>
        <v>8.3576327524533011E-4</v>
      </c>
      <c r="BV158" s="173">
        <f t="shared" si="91"/>
        <v>203750.49</v>
      </c>
      <c r="BW158" s="176">
        <f t="shared" si="92"/>
        <v>1.1879319459706631E-3</v>
      </c>
      <c r="BX158" s="177">
        <f t="shared" si="93"/>
        <v>0</v>
      </c>
      <c r="BY158" s="178">
        <f t="shared" si="94"/>
        <v>0</v>
      </c>
      <c r="BZ158" s="4"/>
      <c r="CA158" s="4"/>
      <c r="CB158" s="4"/>
      <c r="CC158" s="4"/>
      <c r="CD158" s="4"/>
      <c r="CE158" s="4"/>
      <c r="CF158" s="4"/>
      <c r="CG158" s="126">
        <f t="shared" si="95"/>
        <v>683408.58589860005</v>
      </c>
      <c r="CH158" s="126">
        <f t="shared" si="96"/>
        <v>281469.37410139997</v>
      </c>
      <c r="CI158" s="126"/>
      <c r="CJ158" s="126"/>
      <c r="CK158" s="9"/>
      <c r="CL158" s="9"/>
      <c r="CM158" s="127"/>
      <c r="CN158" s="9"/>
      <c r="CO158" s="9"/>
      <c r="CP158" s="9"/>
      <c r="CQ158" s="126"/>
      <c r="CR158" s="126"/>
      <c r="CS158" s="126"/>
      <c r="CT158" s="126"/>
      <c r="CU158" s="126"/>
      <c r="CV158" s="9"/>
      <c r="CW158" s="9"/>
      <c r="CX158" s="127"/>
      <c r="CY158" s="67"/>
      <c r="CZ158" s="67"/>
    </row>
    <row r="159" spans="1:104" x14ac:dyDescent="0.35">
      <c r="A159" s="143">
        <v>214</v>
      </c>
      <c r="B159" s="116" t="s">
        <v>607</v>
      </c>
      <c r="C159" s="144">
        <v>5765263.5550369509</v>
      </c>
      <c r="D159" s="144">
        <v>561149.39</v>
      </c>
      <c r="E159" s="144">
        <v>179975.24</v>
      </c>
      <c r="F159" s="145">
        <f t="shared" si="69"/>
        <v>741124.63</v>
      </c>
      <c r="G159" s="144"/>
      <c r="H159" s="144"/>
      <c r="I159" s="145"/>
      <c r="J159" s="144">
        <v>106397.53</v>
      </c>
      <c r="K159" s="144">
        <v>36934.629999999997</v>
      </c>
      <c r="L159" s="145">
        <f t="shared" si="70"/>
        <v>143332.16</v>
      </c>
      <c r="M159" s="146">
        <v>131842.25</v>
      </c>
      <c r="N159" s="146">
        <v>27199.67</v>
      </c>
      <c r="O159" s="145">
        <f t="shared" si="71"/>
        <v>159041.91999999998</v>
      </c>
      <c r="P159" s="144">
        <v>818641.8</v>
      </c>
      <c r="Q159" s="144">
        <v>168889.51</v>
      </c>
      <c r="R159" s="147">
        <f t="shared" si="72"/>
        <v>987531.31</v>
      </c>
      <c r="S159" s="117">
        <v>0</v>
      </c>
      <c r="T159" s="117">
        <v>0</v>
      </c>
      <c r="U159" s="146">
        <v>0</v>
      </c>
      <c r="V159" s="146">
        <v>0</v>
      </c>
      <c r="W159" s="4"/>
      <c r="X159" s="4"/>
      <c r="Y159" s="4"/>
      <c r="Z159" s="4"/>
      <c r="AA159" s="4"/>
      <c r="AB159" s="4"/>
      <c r="AC159" s="4"/>
      <c r="AD159" s="4"/>
      <c r="AE159" s="4"/>
      <c r="AF159" s="118">
        <f t="shared" si="73"/>
        <v>143332.16</v>
      </c>
      <c r="AG159" s="112">
        <f t="shared" si="73"/>
        <v>131842.25</v>
      </c>
      <c r="AH159" s="112">
        <f t="shared" si="73"/>
        <v>27199.67</v>
      </c>
      <c r="AI159" s="10">
        <f t="shared" si="74"/>
        <v>91603.576665149987</v>
      </c>
      <c r="AJ159" s="10">
        <f t="shared" si="75"/>
        <v>35343.524836930002</v>
      </c>
      <c r="AK159" s="10">
        <f t="shared" si="76"/>
        <v>296.29509696000002</v>
      </c>
      <c r="AL159" s="10">
        <f t="shared" si="77"/>
        <v>31798.523400959999</v>
      </c>
      <c r="AM159" s="10">
        <f t="shared" si="78"/>
        <v>0</v>
      </c>
      <c r="AN159" s="9">
        <f t="shared" si="79"/>
        <v>0</v>
      </c>
      <c r="AO159" s="10">
        <f t="shared" si="80"/>
        <v>0</v>
      </c>
      <c r="AP159" s="66">
        <f t="shared" si="81"/>
        <v>447324.0334341072</v>
      </c>
      <c r="AQ159" s="66">
        <f t="shared" si="82"/>
        <v>153842.97829018981</v>
      </c>
      <c r="AR159" s="66">
        <f t="shared" si="83"/>
        <v>1433.3196735110851</v>
      </c>
      <c r="AS159" s="66">
        <f t="shared" si="84"/>
        <v>35832.991837777132</v>
      </c>
      <c r="AT159" s="66"/>
      <c r="AU159" s="4"/>
      <c r="AV159" s="4"/>
      <c r="AW159" s="4"/>
      <c r="AX159" s="4"/>
      <c r="AY159" s="4"/>
      <c r="AZ159" s="4"/>
      <c r="BA159" s="4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9">
        <f t="shared" si="68"/>
        <v>940807.40323558508</v>
      </c>
      <c r="BN159" s="9">
        <f t="shared" si="97"/>
        <v>724569.11179040698</v>
      </c>
      <c r="BO159" s="9">
        <f t="shared" si="85"/>
        <v>214508.67667470715</v>
      </c>
      <c r="BP159" s="9">
        <f t="shared" si="86"/>
        <v>1729.6147704710852</v>
      </c>
      <c r="BQ159" s="10">
        <f t="shared" si="87"/>
        <v>0</v>
      </c>
      <c r="BR159" s="9">
        <f t="shared" si="88"/>
        <v>940807.4032355852</v>
      </c>
      <c r="BS159" s="142">
        <f t="shared" si="98"/>
        <v>601167.01172429696</v>
      </c>
      <c r="BT159" s="83">
        <f t="shared" si="89"/>
        <v>601167</v>
      </c>
      <c r="BU159" s="175">
        <f t="shared" si="90"/>
        <v>5.8699364256255759E-4</v>
      </c>
      <c r="BV159" s="173">
        <f t="shared" si="91"/>
        <v>143332.16</v>
      </c>
      <c r="BW159" s="176">
        <f t="shared" si="92"/>
        <v>8.3567333628978486E-4</v>
      </c>
      <c r="BX159" s="177">
        <f t="shared" si="93"/>
        <v>0</v>
      </c>
      <c r="BY159" s="178">
        <f t="shared" si="94"/>
        <v>0</v>
      </c>
      <c r="BZ159" s="4"/>
      <c r="CA159" s="4"/>
      <c r="CB159" s="4"/>
      <c r="CC159" s="4"/>
      <c r="CD159" s="4"/>
      <c r="CE159" s="4"/>
      <c r="CF159" s="4"/>
      <c r="CG159" s="126">
        <f t="shared" si="95"/>
        <v>524927.45855955</v>
      </c>
      <c r="CH159" s="126">
        <f t="shared" si="96"/>
        <v>216197.17144045001</v>
      </c>
      <c r="CI159" s="126"/>
      <c r="CJ159" s="126"/>
      <c r="CK159" s="9"/>
      <c r="CL159" s="9"/>
      <c r="CM159" s="127"/>
      <c r="CN159" s="9"/>
      <c r="CO159" s="9"/>
      <c r="CP159" s="9"/>
      <c r="CQ159" s="126"/>
      <c r="CR159" s="126"/>
      <c r="CS159" s="126"/>
      <c r="CT159" s="126"/>
      <c r="CU159" s="126"/>
      <c r="CV159" s="9"/>
      <c r="CW159" s="9"/>
      <c r="CX159" s="127"/>
      <c r="CY159" s="67"/>
      <c r="CZ159" s="67"/>
    </row>
    <row r="160" spans="1:104" x14ac:dyDescent="0.35">
      <c r="A160" s="143">
        <v>221</v>
      </c>
      <c r="B160" s="116" t="s">
        <v>608</v>
      </c>
      <c r="C160" s="144">
        <v>7473139.634383508</v>
      </c>
      <c r="D160" s="144">
        <v>742331.82</v>
      </c>
      <c r="E160" s="144">
        <v>218340.28</v>
      </c>
      <c r="F160" s="145">
        <f t="shared" si="69"/>
        <v>960672.1</v>
      </c>
      <c r="G160" s="144"/>
      <c r="H160" s="144"/>
      <c r="I160" s="145"/>
      <c r="J160" s="144">
        <v>159258.45000000001</v>
      </c>
      <c r="K160" s="144">
        <v>44126.71</v>
      </c>
      <c r="L160" s="145">
        <f t="shared" si="70"/>
        <v>203385.16</v>
      </c>
      <c r="M160" s="146">
        <v>75062.19</v>
      </c>
      <c r="N160" s="146">
        <v>36656.65</v>
      </c>
      <c r="O160" s="145">
        <f t="shared" si="71"/>
        <v>111718.84</v>
      </c>
      <c r="P160" s="144">
        <v>466080.52</v>
      </c>
      <c r="Q160" s="144">
        <v>227610.7</v>
      </c>
      <c r="R160" s="147">
        <f t="shared" si="72"/>
        <v>693691.22</v>
      </c>
      <c r="S160" s="117">
        <v>0</v>
      </c>
      <c r="T160" s="117">
        <v>0</v>
      </c>
      <c r="U160" s="146">
        <v>0</v>
      </c>
      <c r="V160" s="146">
        <v>0</v>
      </c>
      <c r="W160" s="4"/>
      <c r="X160" s="4"/>
      <c r="Y160" s="4"/>
      <c r="Z160" s="4"/>
      <c r="AA160" s="4"/>
      <c r="AB160" s="4"/>
      <c r="AC160" s="4"/>
      <c r="AD160" s="4"/>
      <c r="AE160" s="4"/>
      <c r="AF160" s="118">
        <f t="shared" si="73"/>
        <v>203385.16</v>
      </c>
      <c r="AG160" s="112">
        <f t="shared" si="73"/>
        <v>75062.19</v>
      </c>
      <c r="AH160" s="112">
        <f t="shared" si="73"/>
        <v>36656.65</v>
      </c>
      <c r="AI160" s="10">
        <f t="shared" si="74"/>
        <v>65436.591000130007</v>
      </c>
      <c r="AJ160" s="10">
        <f t="shared" si="75"/>
        <v>23737.275369030001</v>
      </c>
      <c r="AK160" s="10">
        <f t="shared" si="76"/>
        <v>208.13219892000001</v>
      </c>
      <c r="AL160" s="10">
        <f t="shared" si="77"/>
        <v>22336.841431920002</v>
      </c>
      <c r="AM160" s="10">
        <f t="shared" si="78"/>
        <v>0</v>
      </c>
      <c r="AN160" s="9">
        <f t="shared" si="79"/>
        <v>0</v>
      </c>
      <c r="AO160" s="10">
        <f t="shared" si="80"/>
        <v>0</v>
      </c>
      <c r="AP160" s="66">
        <f t="shared" si="81"/>
        <v>631977.52371616056</v>
      </c>
      <c r="AQ160" s="66">
        <f t="shared" si="82"/>
        <v>218298.23894314896</v>
      </c>
      <c r="AR160" s="66">
        <f t="shared" si="83"/>
        <v>2033.8345243150522</v>
      </c>
      <c r="AS160" s="66">
        <f t="shared" si="84"/>
        <v>50845.863107876306</v>
      </c>
      <c r="AT160" s="66"/>
      <c r="AU160" s="4"/>
      <c r="AV160" s="4"/>
      <c r="AW160" s="4"/>
      <c r="AX160" s="4"/>
      <c r="AY160" s="4"/>
      <c r="AZ160" s="4"/>
      <c r="BA160" s="4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9">
        <f t="shared" si="68"/>
        <v>1218259.4602915009</v>
      </c>
      <c r="BN160" s="9">
        <f t="shared" si="97"/>
        <v>938049.19509135955</v>
      </c>
      <c r="BO160" s="9">
        <f t="shared" si="85"/>
        <v>277968.29847690632</v>
      </c>
      <c r="BP160" s="9">
        <f t="shared" si="86"/>
        <v>2241.9667232350521</v>
      </c>
      <c r="BQ160" s="10">
        <f t="shared" si="87"/>
        <v>0</v>
      </c>
      <c r="BR160" s="9">
        <f t="shared" si="88"/>
        <v>1218259.4602915009</v>
      </c>
      <c r="BS160" s="142">
        <f t="shared" si="98"/>
        <v>850275.76265930955</v>
      </c>
      <c r="BT160" s="83">
        <f t="shared" si="89"/>
        <v>850276</v>
      </c>
      <c r="BU160" s="175">
        <f t="shared" si="90"/>
        <v>8.3022929963253128E-4</v>
      </c>
      <c r="BV160" s="173">
        <f t="shared" si="91"/>
        <v>203385.16</v>
      </c>
      <c r="BW160" s="176">
        <f t="shared" si="92"/>
        <v>1.1858019526743454E-3</v>
      </c>
      <c r="BX160" s="177">
        <f t="shared" si="93"/>
        <v>0</v>
      </c>
      <c r="BY160" s="178">
        <f t="shared" si="94"/>
        <v>0</v>
      </c>
      <c r="BZ160" s="4"/>
      <c r="CA160" s="4"/>
      <c r="CB160" s="4"/>
      <c r="CC160" s="4"/>
      <c r="CD160" s="4"/>
      <c r="CE160" s="4"/>
      <c r="CF160" s="4"/>
      <c r="CG160" s="126">
        <f t="shared" si="95"/>
        <v>680429.63834850001</v>
      </c>
      <c r="CH160" s="126">
        <f t="shared" si="96"/>
        <v>280242.46165150002</v>
      </c>
      <c r="CI160" s="126"/>
      <c r="CJ160" s="126"/>
      <c r="CK160" s="9"/>
      <c r="CL160" s="9"/>
      <c r="CM160" s="127"/>
      <c r="CN160" s="9"/>
      <c r="CO160" s="9"/>
      <c r="CP160" s="9"/>
      <c r="CQ160" s="126"/>
      <c r="CR160" s="126"/>
      <c r="CS160" s="126"/>
      <c r="CT160" s="126"/>
      <c r="CU160" s="126"/>
      <c r="CV160" s="9"/>
      <c r="CW160" s="9"/>
      <c r="CX160" s="127"/>
      <c r="CY160" s="67"/>
      <c r="CZ160" s="67"/>
    </row>
    <row r="161" spans="1:104" x14ac:dyDescent="0.35">
      <c r="A161" s="143">
        <v>222</v>
      </c>
      <c r="B161" s="116" t="s">
        <v>609</v>
      </c>
      <c r="C161" s="144">
        <v>10252059.432127576</v>
      </c>
      <c r="D161" s="144">
        <v>769629.34</v>
      </c>
      <c r="E161" s="144">
        <v>548272.9</v>
      </c>
      <c r="F161" s="145">
        <f t="shared" si="69"/>
        <v>1317902.24</v>
      </c>
      <c r="G161" s="144"/>
      <c r="H161" s="144"/>
      <c r="I161" s="145"/>
      <c r="J161" s="144">
        <v>145966.16</v>
      </c>
      <c r="K161" s="144">
        <v>116447.93</v>
      </c>
      <c r="L161" s="145">
        <f t="shared" si="70"/>
        <v>262414.08999999997</v>
      </c>
      <c r="M161" s="146">
        <v>180611.13</v>
      </c>
      <c r="N161" s="146">
        <v>61770.89</v>
      </c>
      <c r="O161" s="145">
        <f t="shared" si="71"/>
        <v>242382.02000000002</v>
      </c>
      <c r="P161" s="144">
        <v>1121458.74</v>
      </c>
      <c r="Q161" s="144">
        <v>383549.42</v>
      </c>
      <c r="R161" s="147">
        <f t="shared" si="72"/>
        <v>1505008.16</v>
      </c>
      <c r="S161" s="117">
        <v>0</v>
      </c>
      <c r="T161" s="117">
        <v>0</v>
      </c>
      <c r="U161" s="146">
        <v>0</v>
      </c>
      <c r="V161" s="146">
        <v>0</v>
      </c>
      <c r="W161" s="4"/>
      <c r="X161" s="4"/>
      <c r="Y161" s="4"/>
      <c r="Z161" s="4"/>
      <c r="AA161" s="4"/>
      <c r="AB161" s="4"/>
      <c r="AC161" s="4"/>
      <c r="AD161" s="4"/>
      <c r="AE161" s="4"/>
      <c r="AF161" s="118">
        <f t="shared" si="73"/>
        <v>262414.08999999997</v>
      </c>
      <c r="AG161" s="112">
        <f t="shared" si="73"/>
        <v>180611.13</v>
      </c>
      <c r="AH161" s="112">
        <f t="shared" si="73"/>
        <v>61770.89</v>
      </c>
      <c r="AI161" s="10">
        <f t="shared" si="74"/>
        <v>140866.69964380999</v>
      </c>
      <c r="AJ161" s="10">
        <f t="shared" si="75"/>
        <v>52602.386338169999</v>
      </c>
      <c r="AK161" s="10">
        <f t="shared" si="76"/>
        <v>451.55770326000004</v>
      </c>
      <c r="AL161" s="10">
        <f t="shared" si="77"/>
        <v>48461.376314760004</v>
      </c>
      <c r="AM161" s="10">
        <f t="shared" si="78"/>
        <v>0</v>
      </c>
      <c r="AN161" s="9">
        <f t="shared" si="79"/>
        <v>0</v>
      </c>
      <c r="AO161" s="10">
        <f t="shared" si="80"/>
        <v>0</v>
      </c>
      <c r="AP161" s="66">
        <f t="shared" si="81"/>
        <v>835234.08033102751</v>
      </c>
      <c r="AQ161" s="66">
        <f t="shared" si="82"/>
        <v>281655.05096250796</v>
      </c>
      <c r="AR161" s="66">
        <f t="shared" si="83"/>
        <v>2624.1153816382725</v>
      </c>
      <c r="AS161" s="66">
        <f t="shared" si="84"/>
        <v>65602.884540956817</v>
      </c>
      <c r="AT161" s="66"/>
      <c r="AU161" s="4"/>
      <c r="AV161" s="4"/>
      <c r="AW161" s="4"/>
      <c r="AX161" s="4"/>
      <c r="AY161" s="4"/>
      <c r="AZ161" s="4"/>
      <c r="BA161" s="4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9">
        <f t="shared" si="68"/>
        <v>1689912.2412161306</v>
      </c>
      <c r="BN161" s="9">
        <f t="shared" si="97"/>
        <v>1306217.2072521055</v>
      </c>
      <c r="BO161" s="9">
        <f t="shared" si="85"/>
        <v>380619.36087912676</v>
      </c>
      <c r="BP161" s="9">
        <f t="shared" si="86"/>
        <v>3075.6730848982725</v>
      </c>
      <c r="BQ161" s="10">
        <f t="shared" si="87"/>
        <v>0</v>
      </c>
      <c r="BR161" s="9">
        <f t="shared" si="88"/>
        <v>1689912.2412161306</v>
      </c>
      <c r="BS161" s="142">
        <f t="shared" si="98"/>
        <v>1116889.1312935355</v>
      </c>
      <c r="BT161" s="83">
        <f t="shared" si="89"/>
        <v>1116889</v>
      </c>
      <c r="BU161" s="175">
        <f t="shared" si="90"/>
        <v>1.0905568780896328E-3</v>
      </c>
      <c r="BV161" s="173">
        <f t="shared" si="91"/>
        <v>262414.08999999997</v>
      </c>
      <c r="BW161" s="176">
        <f t="shared" si="92"/>
        <v>1.5299599062746827E-3</v>
      </c>
      <c r="BX161" s="177">
        <f t="shared" si="93"/>
        <v>0</v>
      </c>
      <c r="BY161" s="178">
        <f t="shared" si="94"/>
        <v>0</v>
      </c>
      <c r="BZ161" s="4"/>
      <c r="CA161" s="4"/>
      <c r="CB161" s="4"/>
      <c r="CC161" s="4"/>
      <c r="CD161" s="4"/>
      <c r="CE161" s="4"/>
      <c r="CF161" s="4"/>
      <c r="CG161" s="126">
        <f t="shared" si="95"/>
        <v>933450.38805840013</v>
      </c>
      <c r="CH161" s="126">
        <f t="shared" si="96"/>
        <v>384451.85194159998</v>
      </c>
      <c r="CI161" s="126"/>
      <c r="CJ161" s="126"/>
      <c r="CK161" s="9"/>
      <c r="CL161" s="9"/>
      <c r="CM161" s="127"/>
      <c r="CN161" s="9"/>
      <c r="CO161" s="9"/>
      <c r="CP161" s="9"/>
      <c r="CQ161" s="126"/>
      <c r="CR161" s="126"/>
      <c r="CS161" s="126"/>
      <c r="CT161" s="126"/>
      <c r="CU161" s="126"/>
      <c r="CV161" s="9"/>
      <c r="CW161" s="9"/>
      <c r="CX161" s="127"/>
      <c r="CY161" s="67"/>
      <c r="CZ161" s="67"/>
    </row>
    <row r="162" spans="1:104" x14ac:dyDescent="0.35">
      <c r="A162" s="143">
        <v>224</v>
      </c>
      <c r="B162" s="116" t="s">
        <v>610</v>
      </c>
      <c r="C162" s="144">
        <v>24793538.934266824</v>
      </c>
      <c r="D162" s="144">
        <v>2275625.84</v>
      </c>
      <c r="E162" s="144">
        <v>911583.59</v>
      </c>
      <c r="F162" s="145">
        <f t="shared" si="69"/>
        <v>3187209.4299999997</v>
      </c>
      <c r="G162" s="144"/>
      <c r="H162" s="144"/>
      <c r="I162" s="145"/>
      <c r="J162" s="144">
        <v>485896.49</v>
      </c>
      <c r="K162" s="144">
        <v>183332.55</v>
      </c>
      <c r="L162" s="145">
        <f t="shared" si="70"/>
        <v>669229.04</v>
      </c>
      <c r="M162" s="146">
        <v>242522.26</v>
      </c>
      <c r="N162" s="146">
        <v>157864.99</v>
      </c>
      <c r="O162" s="145">
        <f t="shared" si="71"/>
        <v>400387.25</v>
      </c>
      <c r="P162" s="144">
        <v>1505880.15</v>
      </c>
      <c r="Q162" s="144">
        <v>980227.17</v>
      </c>
      <c r="R162" s="147">
        <f t="shared" si="72"/>
        <v>2486107.3199999998</v>
      </c>
      <c r="S162" s="117">
        <v>0</v>
      </c>
      <c r="T162" s="117">
        <v>0</v>
      </c>
      <c r="U162" s="146">
        <v>0</v>
      </c>
      <c r="V162" s="146">
        <v>0</v>
      </c>
      <c r="W162" s="4"/>
      <c r="X162" s="4"/>
      <c r="Y162" s="4"/>
      <c r="Z162" s="4"/>
      <c r="AA162" s="4"/>
      <c r="AB162" s="4"/>
      <c r="AC162" s="4"/>
      <c r="AD162" s="4"/>
      <c r="AE162" s="4"/>
      <c r="AF162" s="118">
        <f t="shared" si="73"/>
        <v>669229.04</v>
      </c>
      <c r="AG162" s="112">
        <f t="shared" si="73"/>
        <v>242522.26</v>
      </c>
      <c r="AH162" s="112">
        <f t="shared" si="73"/>
        <v>157864.99</v>
      </c>
      <c r="AI162" s="10">
        <f t="shared" si="74"/>
        <v>236162.04338607</v>
      </c>
      <c r="AJ162" s="10">
        <f t="shared" si="75"/>
        <v>83426.659176679997</v>
      </c>
      <c r="AK162" s="10">
        <f t="shared" si="76"/>
        <v>745.92144675000009</v>
      </c>
      <c r="AL162" s="10">
        <f t="shared" si="77"/>
        <v>80052.625990500004</v>
      </c>
      <c r="AM162" s="10">
        <f t="shared" si="78"/>
        <v>0</v>
      </c>
      <c r="AN162" s="9">
        <f t="shared" si="79"/>
        <v>0</v>
      </c>
      <c r="AO162" s="10">
        <f t="shared" si="80"/>
        <v>0</v>
      </c>
      <c r="AP162" s="66">
        <f t="shared" si="81"/>
        <v>2092202.1414619968</v>
      </c>
      <c r="AQ162" s="66">
        <f t="shared" si="82"/>
        <v>718299.29797939165</v>
      </c>
      <c r="AR162" s="66">
        <f t="shared" si="83"/>
        <v>6692.2294842800457</v>
      </c>
      <c r="AS162" s="66">
        <f t="shared" si="84"/>
        <v>167305.73710700113</v>
      </c>
      <c r="AT162" s="66"/>
      <c r="AU162" s="4"/>
      <c r="AV162" s="4"/>
      <c r="AW162" s="4"/>
      <c r="AX162" s="4"/>
      <c r="AY162" s="4"/>
      <c r="AZ162" s="4"/>
      <c r="BA162" s="4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9">
        <f t="shared" si="68"/>
        <v>4054115.6960326699</v>
      </c>
      <c r="BN162" s="9">
        <f t="shared" si="97"/>
        <v>3126716.1088179587</v>
      </c>
      <c r="BO162" s="9">
        <f t="shared" si="85"/>
        <v>919961.43628368119</v>
      </c>
      <c r="BP162" s="9">
        <f t="shared" si="86"/>
        <v>7438.1509310300462</v>
      </c>
      <c r="BQ162" s="10">
        <f t="shared" si="87"/>
        <v>0</v>
      </c>
      <c r="BR162" s="9">
        <f t="shared" si="88"/>
        <v>4054115.6960326699</v>
      </c>
      <c r="BS162" s="142">
        <f t="shared" si="98"/>
        <v>2810501.4394413885</v>
      </c>
      <c r="BT162" s="83">
        <f t="shared" si="89"/>
        <v>2810501</v>
      </c>
      <c r="BU162" s="175">
        <f t="shared" si="90"/>
        <v>2.7442398621193927E-3</v>
      </c>
      <c r="BV162" s="173">
        <f t="shared" si="91"/>
        <v>669229.04</v>
      </c>
      <c r="BW162" s="176">
        <f t="shared" si="92"/>
        <v>3.9018240191092488E-3</v>
      </c>
      <c r="BX162" s="177">
        <f t="shared" si="93"/>
        <v>0</v>
      </c>
      <c r="BY162" s="178">
        <f t="shared" si="94"/>
        <v>0</v>
      </c>
      <c r="BZ162" s="4"/>
      <c r="CA162" s="4"/>
      <c r="CB162" s="4"/>
      <c r="CC162" s="4"/>
      <c r="CD162" s="4"/>
      <c r="CE162" s="4"/>
      <c r="CF162" s="4"/>
      <c r="CG162" s="126">
        <f t="shared" si="95"/>
        <v>2257452.6311275503</v>
      </c>
      <c r="CH162" s="126">
        <f t="shared" si="96"/>
        <v>929756.7988724499</v>
      </c>
      <c r="CI162" s="126"/>
      <c r="CJ162" s="126"/>
      <c r="CK162" s="9"/>
      <c r="CL162" s="9"/>
      <c r="CM162" s="127"/>
      <c r="CN162" s="9"/>
      <c r="CO162" s="9"/>
      <c r="CP162" s="9"/>
      <c r="CQ162" s="126"/>
      <c r="CR162" s="126"/>
      <c r="CS162" s="126"/>
      <c r="CT162" s="126"/>
      <c r="CU162" s="126"/>
      <c r="CV162" s="9"/>
      <c r="CW162" s="9"/>
      <c r="CX162" s="127"/>
      <c r="CY162" s="67"/>
      <c r="CZ162" s="67"/>
    </row>
    <row r="163" spans="1:104" x14ac:dyDescent="0.35">
      <c r="A163" s="143">
        <v>226</v>
      </c>
      <c r="B163" s="116" t="s">
        <v>611</v>
      </c>
      <c r="C163" s="144">
        <v>14640360.404511863</v>
      </c>
      <c r="D163" s="144">
        <v>1416111.51</v>
      </c>
      <c r="E163" s="144">
        <v>465906.82</v>
      </c>
      <c r="F163" s="145">
        <f t="shared" si="69"/>
        <v>1882018.33</v>
      </c>
      <c r="G163" s="144"/>
      <c r="H163" s="144"/>
      <c r="I163" s="145"/>
      <c r="J163" s="144">
        <v>294089.89</v>
      </c>
      <c r="K163" s="144">
        <v>88986.32</v>
      </c>
      <c r="L163" s="145">
        <f t="shared" si="70"/>
        <v>383076.21</v>
      </c>
      <c r="M163" s="146">
        <v>195369.81</v>
      </c>
      <c r="N163" s="146">
        <v>105989.48</v>
      </c>
      <c r="O163" s="145">
        <f t="shared" si="71"/>
        <v>301359.28999999998</v>
      </c>
      <c r="P163" s="144">
        <v>1213098.81</v>
      </c>
      <c r="Q163" s="144">
        <v>658115.01</v>
      </c>
      <c r="R163" s="147">
        <f t="shared" si="72"/>
        <v>1871213.82</v>
      </c>
      <c r="S163" s="117">
        <v>0</v>
      </c>
      <c r="T163" s="117">
        <v>0</v>
      </c>
      <c r="U163" s="146">
        <v>0</v>
      </c>
      <c r="V163" s="146">
        <v>0</v>
      </c>
      <c r="W163" s="4"/>
      <c r="X163" s="4"/>
      <c r="Y163" s="4"/>
      <c r="Z163" s="4"/>
      <c r="AA163" s="4"/>
      <c r="AB163" s="4"/>
      <c r="AC163" s="4"/>
      <c r="AD163" s="4"/>
      <c r="AE163" s="4"/>
      <c r="AF163" s="118">
        <f t="shared" si="73"/>
        <v>383076.21</v>
      </c>
      <c r="AG163" s="112">
        <f t="shared" si="73"/>
        <v>195369.81</v>
      </c>
      <c r="AH163" s="112">
        <f t="shared" si="73"/>
        <v>105989.48</v>
      </c>
      <c r="AI163" s="10">
        <f t="shared" si="74"/>
        <v>176955.28210171999</v>
      </c>
      <c r="AJ163" s="10">
        <f t="shared" si="75"/>
        <v>63589.401816989994</v>
      </c>
      <c r="AK163" s="10">
        <f t="shared" si="76"/>
        <v>561.43235727000001</v>
      </c>
      <c r="AL163" s="10">
        <f t="shared" si="77"/>
        <v>60253.173724020002</v>
      </c>
      <c r="AM163" s="10">
        <f t="shared" si="78"/>
        <v>0</v>
      </c>
      <c r="AN163" s="9">
        <f t="shared" si="79"/>
        <v>0</v>
      </c>
      <c r="AO163" s="10">
        <f t="shared" si="80"/>
        <v>0</v>
      </c>
      <c r="AP163" s="66">
        <f t="shared" si="81"/>
        <v>1192292.8840705249</v>
      </c>
      <c r="AQ163" s="66">
        <f t="shared" si="82"/>
        <v>411166.52002128196</v>
      </c>
      <c r="AR163" s="66">
        <f t="shared" si="83"/>
        <v>3830.7439753535582</v>
      </c>
      <c r="AS163" s="66">
        <f t="shared" si="84"/>
        <v>95768.59938383897</v>
      </c>
      <c r="AT163" s="66"/>
      <c r="AU163" s="4"/>
      <c r="AV163" s="4"/>
      <c r="AW163" s="4"/>
      <c r="AX163" s="4"/>
      <c r="AY163" s="4"/>
      <c r="AZ163" s="4"/>
      <c r="BA163" s="4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9">
        <f t="shared" si="68"/>
        <v>2387494.2474509994</v>
      </c>
      <c r="BN163" s="9">
        <f t="shared" si="97"/>
        <v>1840667.8599175469</v>
      </c>
      <c r="BO163" s="9">
        <f t="shared" si="85"/>
        <v>542434.21120082901</v>
      </c>
      <c r="BP163" s="9">
        <f t="shared" si="86"/>
        <v>4392.1763326235578</v>
      </c>
      <c r="BQ163" s="10">
        <f t="shared" si="87"/>
        <v>0</v>
      </c>
      <c r="BR163" s="9">
        <f t="shared" si="88"/>
        <v>2387494.2474509994</v>
      </c>
      <c r="BS163" s="142">
        <f t="shared" si="98"/>
        <v>1603459.4040918068</v>
      </c>
      <c r="BT163" s="83">
        <f t="shared" si="89"/>
        <v>1603459</v>
      </c>
      <c r="BU163" s="175">
        <f t="shared" si="90"/>
        <v>1.565655563184318E-3</v>
      </c>
      <c r="BV163" s="173">
        <f t="shared" si="91"/>
        <v>383076.21</v>
      </c>
      <c r="BW163" s="176">
        <f t="shared" si="92"/>
        <v>2.2334595003936746E-3</v>
      </c>
      <c r="BX163" s="177">
        <f t="shared" si="93"/>
        <v>0</v>
      </c>
      <c r="BY163" s="178">
        <f t="shared" si="94"/>
        <v>0</v>
      </c>
      <c r="BZ163" s="4"/>
      <c r="CA163" s="4"/>
      <c r="CB163" s="4"/>
      <c r="CC163" s="4"/>
      <c r="CD163" s="4"/>
      <c r="CE163" s="4"/>
      <c r="CF163" s="4"/>
      <c r="CG163" s="126">
        <f t="shared" si="95"/>
        <v>1333005.3528640501</v>
      </c>
      <c r="CH163" s="126">
        <f t="shared" si="96"/>
        <v>549012.97713595</v>
      </c>
      <c r="CI163" s="126"/>
      <c r="CJ163" s="126"/>
      <c r="CK163" s="9"/>
      <c r="CL163" s="9"/>
      <c r="CM163" s="127"/>
      <c r="CN163" s="9"/>
      <c r="CO163" s="9"/>
      <c r="CP163" s="9"/>
      <c r="CQ163" s="126"/>
      <c r="CR163" s="126"/>
      <c r="CS163" s="126"/>
      <c r="CT163" s="126"/>
      <c r="CU163" s="126"/>
      <c r="CV163" s="9"/>
      <c r="CW163" s="9"/>
      <c r="CX163" s="127"/>
      <c r="CY163" s="67"/>
      <c r="CZ163" s="67"/>
    </row>
    <row r="164" spans="1:104" x14ac:dyDescent="0.35">
      <c r="A164" s="143">
        <v>227</v>
      </c>
      <c r="B164" s="116" t="s">
        <v>612</v>
      </c>
      <c r="C164" s="144">
        <v>4293098.8720342275</v>
      </c>
      <c r="D164" s="144">
        <v>462844.65</v>
      </c>
      <c r="E164" s="144">
        <v>89033.21</v>
      </c>
      <c r="F164" s="145">
        <f t="shared" si="69"/>
        <v>551877.86</v>
      </c>
      <c r="G164" s="144"/>
      <c r="H164" s="144"/>
      <c r="I164" s="145"/>
      <c r="J164" s="144">
        <v>98166.24</v>
      </c>
      <c r="K164" s="144">
        <v>19668.89</v>
      </c>
      <c r="L164" s="145">
        <f t="shared" si="70"/>
        <v>117835.13</v>
      </c>
      <c r="M164" s="146">
        <v>52869.02</v>
      </c>
      <c r="N164" s="146">
        <v>5951.52</v>
      </c>
      <c r="O164" s="145">
        <f t="shared" si="71"/>
        <v>58820.539999999994</v>
      </c>
      <c r="P164" s="144">
        <v>328277.7</v>
      </c>
      <c r="Q164" s="144">
        <v>36954</v>
      </c>
      <c r="R164" s="147">
        <f t="shared" si="72"/>
        <v>365231.7</v>
      </c>
      <c r="S164" s="117">
        <v>0</v>
      </c>
      <c r="T164" s="117">
        <v>0</v>
      </c>
      <c r="U164" s="146">
        <v>0</v>
      </c>
      <c r="V164" s="146">
        <v>0</v>
      </c>
      <c r="W164" s="4"/>
      <c r="X164" s="4"/>
      <c r="Y164" s="4"/>
      <c r="Z164" s="4"/>
      <c r="AA164" s="4"/>
      <c r="AB164" s="4"/>
      <c r="AC164" s="4"/>
      <c r="AD164" s="4"/>
      <c r="AE164" s="4"/>
      <c r="AF164" s="118">
        <f t="shared" si="73"/>
        <v>117835.13</v>
      </c>
      <c r="AG164" s="112">
        <f t="shared" si="73"/>
        <v>52869.02</v>
      </c>
      <c r="AH164" s="112">
        <f t="shared" si="73"/>
        <v>5951.52</v>
      </c>
      <c r="AI164" s="10">
        <f t="shared" si="74"/>
        <v>33623.857661439994</v>
      </c>
      <c r="AJ164" s="10">
        <f t="shared" si="75"/>
        <v>13326.63854602</v>
      </c>
      <c r="AK164" s="10">
        <f t="shared" si="76"/>
        <v>109.58266601999999</v>
      </c>
      <c r="AL164" s="10">
        <f t="shared" si="77"/>
        <v>11760.46112652</v>
      </c>
      <c r="AM164" s="10">
        <f t="shared" si="78"/>
        <v>0</v>
      </c>
      <c r="AN164" s="9">
        <f t="shared" si="79"/>
        <v>0</v>
      </c>
      <c r="AO164" s="10">
        <f t="shared" si="80"/>
        <v>0</v>
      </c>
      <c r="AP164" s="66">
        <f t="shared" si="81"/>
        <v>364188.72556253016</v>
      </c>
      <c r="AQ164" s="66">
        <f t="shared" si="82"/>
        <v>126477.32293950215</v>
      </c>
      <c r="AR164" s="66">
        <f t="shared" si="83"/>
        <v>1178.3601516102685</v>
      </c>
      <c r="AS164" s="66">
        <f t="shared" si="84"/>
        <v>29459.003790256709</v>
      </c>
      <c r="AT164" s="66"/>
      <c r="AU164" s="4"/>
      <c r="AV164" s="4"/>
      <c r="AW164" s="4"/>
      <c r="AX164" s="4"/>
      <c r="AY164" s="4"/>
      <c r="AZ164" s="4"/>
      <c r="BA164" s="4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9">
        <f t="shared" si="68"/>
        <v>697959.08244389924</v>
      </c>
      <c r="BN164" s="9">
        <f t="shared" si="97"/>
        <v>536050.36728999228</v>
      </c>
      <c r="BO164" s="9">
        <f t="shared" si="85"/>
        <v>160620.77233627671</v>
      </c>
      <c r="BP164" s="9">
        <f t="shared" si="86"/>
        <v>1287.9428176302686</v>
      </c>
      <c r="BQ164" s="10">
        <f t="shared" si="87"/>
        <v>0</v>
      </c>
      <c r="BR164" s="9">
        <f t="shared" si="88"/>
        <v>697959.08244389924</v>
      </c>
      <c r="BS164" s="142">
        <f t="shared" si="98"/>
        <v>490666.0485020323</v>
      </c>
      <c r="BT164" s="83">
        <f t="shared" si="89"/>
        <v>490666</v>
      </c>
      <c r="BU164" s="175">
        <f t="shared" si="90"/>
        <v>4.7909789704840496E-4</v>
      </c>
      <c r="BV164" s="173">
        <f t="shared" si="91"/>
        <v>117835.13</v>
      </c>
      <c r="BW164" s="176">
        <f t="shared" si="92"/>
        <v>6.8701731850856441E-4</v>
      </c>
      <c r="BX164" s="177">
        <f t="shared" si="93"/>
        <v>0</v>
      </c>
      <c r="BY164" s="178">
        <f t="shared" si="94"/>
        <v>0</v>
      </c>
      <c r="BZ164" s="4"/>
      <c r="CA164" s="4"/>
      <c r="CB164" s="4"/>
      <c r="CC164" s="4"/>
      <c r="CD164" s="4"/>
      <c r="CE164" s="4"/>
      <c r="CF164" s="4"/>
      <c r="CG164" s="126">
        <f t="shared" si="95"/>
        <v>390886.81007010001</v>
      </c>
      <c r="CH164" s="126">
        <f t="shared" si="96"/>
        <v>160991.04992990001</v>
      </c>
      <c r="CI164" s="126"/>
      <c r="CJ164" s="126"/>
      <c r="CK164" s="9"/>
      <c r="CL164" s="9"/>
      <c r="CM164" s="127"/>
      <c r="CN164" s="9"/>
      <c r="CO164" s="9"/>
      <c r="CP164" s="9"/>
      <c r="CQ164" s="126"/>
      <c r="CR164" s="126"/>
      <c r="CS164" s="126"/>
      <c r="CT164" s="126"/>
      <c r="CU164" s="126"/>
      <c r="CV164" s="9"/>
      <c r="CW164" s="9"/>
      <c r="CX164" s="127"/>
      <c r="CY164" s="67"/>
      <c r="CZ164" s="67"/>
    </row>
    <row r="165" spans="1:104" x14ac:dyDescent="0.35">
      <c r="A165" s="143">
        <v>228</v>
      </c>
      <c r="B165" s="116" t="s">
        <v>613</v>
      </c>
      <c r="C165" s="144">
        <v>3115847.4523531701</v>
      </c>
      <c r="D165" s="144">
        <v>267893.44</v>
      </c>
      <c r="E165" s="144">
        <v>132648.75</v>
      </c>
      <c r="F165" s="145">
        <f t="shared" si="69"/>
        <v>400542.19</v>
      </c>
      <c r="G165" s="144"/>
      <c r="H165" s="144"/>
      <c r="I165" s="145"/>
      <c r="J165" s="144">
        <v>57217.85</v>
      </c>
      <c r="K165" s="144">
        <v>27418.13</v>
      </c>
      <c r="L165" s="145">
        <f t="shared" si="70"/>
        <v>84635.98</v>
      </c>
      <c r="M165" s="146">
        <v>28459.29</v>
      </c>
      <c r="N165" s="146">
        <v>18997.73</v>
      </c>
      <c r="O165" s="145">
        <f t="shared" si="71"/>
        <v>47457.020000000004</v>
      </c>
      <c r="P165" s="144">
        <v>176710</v>
      </c>
      <c r="Q165" s="144">
        <v>117962.45</v>
      </c>
      <c r="R165" s="147">
        <f t="shared" si="72"/>
        <v>294672.45</v>
      </c>
      <c r="S165" s="117">
        <v>0</v>
      </c>
      <c r="T165" s="117">
        <v>0</v>
      </c>
      <c r="U165" s="146">
        <v>0</v>
      </c>
      <c r="V165" s="146">
        <v>0</v>
      </c>
      <c r="W165" s="4"/>
      <c r="X165" s="4"/>
      <c r="Y165" s="4"/>
      <c r="Z165" s="4"/>
      <c r="AA165" s="4"/>
      <c r="AB165" s="4"/>
      <c r="AC165" s="4"/>
      <c r="AD165" s="4"/>
      <c r="AE165" s="4"/>
      <c r="AF165" s="118">
        <f t="shared" si="73"/>
        <v>84635.98</v>
      </c>
      <c r="AG165" s="112">
        <f t="shared" si="73"/>
        <v>28459.29</v>
      </c>
      <c r="AH165" s="112">
        <f t="shared" si="73"/>
        <v>18997.73</v>
      </c>
      <c r="AI165" s="10">
        <f t="shared" si="74"/>
        <v>28009.547219929998</v>
      </c>
      <c r="AJ165" s="10">
        <f t="shared" si="75"/>
        <v>9870.5986870500001</v>
      </c>
      <c r="AK165" s="10">
        <f t="shared" si="76"/>
        <v>88.412428260000013</v>
      </c>
      <c r="AL165" s="10">
        <f t="shared" si="77"/>
        <v>9488.4616647600014</v>
      </c>
      <c r="AM165" s="10">
        <f t="shared" si="78"/>
        <v>0</v>
      </c>
      <c r="AN165" s="9">
        <f t="shared" si="79"/>
        <v>0</v>
      </c>
      <c r="AO165" s="10">
        <f t="shared" si="80"/>
        <v>0</v>
      </c>
      <c r="AP165" s="66">
        <f t="shared" si="81"/>
        <v>266007.20427172404</v>
      </c>
      <c r="AQ165" s="66">
        <f t="shared" si="82"/>
        <v>90841.835075772076</v>
      </c>
      <c r="AR165" s="66">
        <f t="shared" si="83"/>
        <v>846.35250070595089</v>
      </c>
      <c r="AS165" s="66">
        <f t="shared" si="84"/>
        <v>21158.812517648774</v>
      </c>
      <c r="AT165" s="66"/>
      <c r="AU165" s="4"/>
      <c r="AV165" s="4"/>
      <c r="AW165" s="4"/>
      <c r="AX165" s="4"/>
      <c r="AY165" s="4"/>
      <c r="AZ165" s="4"/>
      <c r="BA165" s="4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9">
        <f t="shared" si="68"/>
        <v>510947.20436585089</v>
      </c>
      <c r="BN165" s="9">
        <f t="shared" si="97"/>
        <v>394347.04823218612</v>
      </c>
      <c r="BO165" s="9">
        <f t="shared" si="85"/>
        <v>115665.39120469877</v>
      </c>
      <c r="BP165" s="9">
        <f t="shared" si="86"/>
        <v>934.76492896595096</v>
      </c>
      <c r="BQ165" s="10">
        <f t="shared" si="87"/>
        <v>0</v>
      </c>
      <c r="BR165" s="9">
        <f t="shared" si="88"/>
        <v>510947.20436585083</v>
      </c>
      <c r="BS165" s="142">
        <f t="shared" si="98"/>
        <v>356849.03934749612</v>
      </c>
      <c r="BT165" s="83">
        <f t="shared" si="89"/>
        <v>356849</v>
      </c>
      <c r="BU165" s="175">
        <f t="shared" si="90"/>
        <v>3.4843581461785366E-4</v>
      </c>
      <c r="BV165" s="173">
        <f t="shared" si="91"/>
        <v>84635.98</v>
      </c>
      <c r="BW165" s="176">
        <f t="shared" si="92"/>
        <v>4.9345542393804359E-4</v>
      </c>
      <c r="BX165" s="177">
        <f t="shared" si="93"/>
        <v>0</v>
      </c>
      <c r="BY165" s="178">
        <f t="shared" si="94"/>
        <v>0</v>
      </c>
      <c r="BZ165" s="4"/>
      <c r="CA165" s="4"/>
      <c r="CB165" s="4"/>
      <c r="CC165" s="4"/>
      <c r="CD165" s="4"/>
      <c r="CE165" s="4"/>
      <c r="CF165" s="4"/>
      <c r="CG165" s="126">
        <f t="shared" si="95"/>
        <v>283698.02504415001</v>
      </c>
      <c r="CH165" s="126">
        <f t="shared" si="96"/>
        <v>116844.16495585001</v>
      </c>
      <c r="CI165" s="126"/>
      <c r="CJ165" s="126"/>
      <c r="CK165" s="9"/>
      <c r="CL165" s="9"/>
      <c r="CM165" s="127"/>
      <c r="CN165" s="9"/>
      <c r="CO165" s="9"/>
      <c r="CP165" s="9"/>
      <c r="CQ165" s="126"/>
      <c r="CR165" s="126"/>
      <c r="CS165" s="126"/>
      <c r="CT165" s="126"/>
      <c r="CU165" s="126"/>
      <c r="CV165" s="9"/>
      <c r="CW165" s="9"/>
      <c r="CX165" s="127"/>
      <c r="CY165" s="67"/>
      <c r="CZ165" s="67"/>
    </row>
    <row r="166" spans="1:104" x14ac:dyDescent="0.35">
      <c r="A166" s="143">
        <v>230</v>
      </c>
      <c r="B166" s="116" t="s">
        <v>614</v>
      </c>
      <c r="C166" s="144">
        <v>6751728.6658887593</v>
      </c>
      <c r="D166" s="144">
        <v>729274.04</v>
      </c>
      <c r="E166" s="144">
        <v>138660.68</v>
      </c>
      <c r="F166" s="145">
        <f t="shared" si="69"/>
        <v>867934.71999999997</v>
      </c>
      <c r="G166" s="144"/>
      <c r="H166" s="144"/>
      <c r="I166" s="145"/>
      <c r="J166" s="144">
        <v>166548.67000000001</v>
      </c>
      <c r="K166" s="144">
        <v>30352.26</v>
      </c>
      <c r="L166" s="145">
        <f t="shared" si="70"/>
        <v>196900.93000000002</v>
      </c>
      <c r="M166" s="146">
        <v>19554.93</v>
      </c>
      <c r="N166" s="146">
        <v>10779.29</v>
      </c>
      <c r="O166" s="145">
        <f t="shared" si="71"/>
        <v>30334.22</v>
      </c>
      <c r="P166" s="144">
        <v>121421.93</v>
      </c>
      <c r="Q166" s="144">
        <v>66931.14</v>
      </c>
      <c r="R166" s="147">
        <f t="shared" si="72"/>
        <v>188353.07</v>
      </c>
      <c r="S166" s="117">
        <v>0</v>
      </c>
      <c r="T166" s="117">
        <v>0</v>
      </c>
      <c r="U166" s="146">
        <v>0</v>
      </c>
      <c r="V166" s="146">
        <v>0</v>
      </c>
      <c r="W166" s="4"/>
      <c r="X166" s="4"/>
      <c r="Y166" s="4"/>
      <c r="Z166" s="4"/>
      <c r="AA166" s="4"/>
      <c r="AB166" s="4"/>
      <c r="AC166" s="4"/>
      <c r="AD166" s="4"/>
      <c r="AE166" s="4"/>
      <c r="AF166" s="118">
        <f t="shared" si="73"/>
        <v>196900.93000000002</v>
      </c>
      <c r="AG166" s="112">
        <f t="shared" si="73"/>
        <v>19554.93</v>
      </c>
      <c r="AH166" s="112">
        <f t="shared" si="73"/>
        <v>10779.29</v>
      </c>
      <c r="AI166" s="10">
        <f t="shared" si="74"/>
        <v>17818.830399409999</v>
      </c>
      <c r="AJ166" s="10">
        <f t="shared" si="75"/>
        <v>6393.9136703700005</v>
      </c>
      <c r="AK166" s="10">
        <f t="shared" si="76"/>
        <v>56.512651860000005</v>
      </c>
      <c r="AL166" s="10">
        <f t="shared" si="77"/>
        <v>6064.9632783600009</v>
      </c>
      <c r="AM166" s="10">
        <f t="shared" si="78"/>
        <v>0</v>
      </c>
      <c r="AN166" s="9">
        <f t="shared" si="79"/>
        <v>0</v>
      </c>
      <c r="AO166" s="10">
        <f t="shared" si="80"/>
        <v>0</v>
      </c>
      <c r="AP166" s="66">
        <f t="shared" si="81"/>
        <v>607712.55391411192</v>
      </c>
      <c r="AQ166" s="66">
        <f t="shared" si="82"/>
        <v>211340.69418761806</v>
      </c>
      <c r="AR166" s="66">
        <f t="shared" si="83"/>
        <v>1969.0126787666277</v>
      </c>
      <c r="AS166" s="66">
        <f t="shared" si="84"/>
        <v>49225.316969165695</v>
      </c>
      <c r="AT166" s="66"/>
      <c r="AU166" s="4"/>
      <c r="AV166" s="4"/>
      <c r="AW166" s="4"/>
      <c r="AX166" s="4"/>
      <c r="AY166" s="4"/>
      <c r="AZ166" s="4"/>
      <c r="BA166" s="4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9">
        <f t="shared" si="68"/>
        <v>1097482.7277496622</v>
      </c>
      <c r="BN166" s="9">
        <f t="shared" si="97"/>
        <v>842937.04177949997</v>
      </c>
      <c r="BO166" s="9">
        <f t="shared" si="85"/>
        <v>252520.16063953572</v>
      </c>
      <c r="BP166" s="9">
        <f t="shared" si="86"/>
        <v>2025.5253306266277</v>
      </c>
      <c r="BQ166" s="10">
        <f t="shared" si="87"/>
        <v>0</v>
      </c>
      <c r="BR166" s="9">
        <f t="shared" si="88"/>
        <v>1097482.7277496622</v>
      </c>
      <c r="BS166" s="142">
        <f t="shared" si="98"/>
        <v>819053.24810173002</v>
      </c>
      <c r="BT166" s="83">
        <f t="shared" si="89"/>
        <v>819053</v>
      </c>
      <c r="BU166" s="175">
        <f t="shared" si="90"/>
        <v>7.9974290035797946E-4</v>
      </c>
      <c r="BV166" s="173">
        <f t="shared" si="91"/>
        <v>196900.93000000002</v>
      </c>
      <c r="BW166" s="176">
        <f t="shared" si="92"/>
        <v>1.1479967726130786E-3</v>
      </c>
      <c r="BX166" s="177">
        <f t="shared" si="93"/>
        <v>0</v>
      </c>
      <c r="BY166" s="178">
        <f t="shared" si="94"/>
        <v>0</v>
      </c>
      <c r="BZ166" s="4"/>
      <c r="CA166" s="4"/>
      <c r="CB166" s="4"/>
      <c r="CC166" s="4"/>
      <c r="CD166" s="4"/>
      <c r="CE166" s="4"/>
      <c r="CF166" s="4"/>
      <c r="CG166" s="126">
        <f t="shared" si="95"/>
        <v>614745.14315520006</v>
      </c>
      <c r="CH166" s="126">
        <f t="shared" si="96"/>
        <v>253189.57684480003</v>
      </c>
      <c r="CI166" s="126"/>
      <c r="CJ166" s="126"/>
      <c r="CK166" s="9"/>
      <c r="CL166" s="9"/>
      <c r="CM166" s="127"/>
      <c r="CN166" s="9"/>
      <c r="CO166" s="9"/>
      <c r="CP166" s="9"/>
      <c r="CQ166" s="126"/>
      <c r="CR166" s="126"/>
      <c r="CS166" s="126"/>
      <c r="CT166" s="126"/>
      <c r="CU166" s="126"/>
      <c r="CV166" s="9"/>
      <c r="CW166" s="9"/>
      <c r="CX166" s="127"/>
      <c r="CY166" s="67"/>
      <c r="CZ166" s="67"/>
    </row>
    <row r="167" spans="1:104" x14ac:dyDescent="0.35">
      <c r="A167" s="143">
        <v>231</v>
      </c>
      <c r="B167" s="116" t="s">
        <v>615</v>
      </c>
      <c r="C167" s="144">
        <v>2258913.2633216646</v>
      </c>
      <c r="D167" s="144">
        <v>232602.13</v>
      </c>
      <c r="E167" s="144">
        <v>57781.17</v>
      </c>
      <c r="F167" s="145">
        <f t="shared" si="69"/>
        <v>290383.3</v>
      </c>
      <c r="G167" s="144"/>
      <c r="H167" s="144"/>
      <c r="I167" s="145"/>
      <c r="J167" s="144">
        <v>50562.33</v>
      </c>
      <c r="K167" s="144">
        <v>9019.75</v>
      </c>
      <c r="L167" s="145">
        <f t="shared" si="70"/>
        <v>59582.080000000002</v>
      </c>
      <c r="M167" s="146">
        <v>19970.650000000001</v>
      </c>
      <c r="N167" s="146">
        <v>23969.59</v>
      </c>
      <c r="O167" s="145">
        <f t="shared" si="71"/>
        <v>43940.240000000005</v>
      </c>
      <c r="P167" s="144">
        <v>124002.89</v>
      </c>
      <c r="Q167" s="144">
        <v>148833.12</v>
      </c>
      <c r="R167" s="147">
        <f t="shared" si="72"/>
        <v>272836.01</v>
      </c>
      <c r="S167" s="117">
        <v>0</v>
      </c>
      <c r="T167" s="117">
        <v>0</v>
      </c>
      <c r="U167" s="146">
        <v>0</v>
      </c>
      <c r="V167" s="146">
        <v>0</v>
      </c>
      <c r="W167" s="4"/>
      <c r="X167" s="4"/>
      <c r="Y167" s="4"/>
      <c r="Z167" s="4"/>
      <c r="AA167" s="4"/>
      <c r="AB167" s="4"/>
      <c r="AC167" s="4"/>
      <c r="AD167" s="4"/>
      <c r="AE167" s="4"/>
      <c r="AF167" s="118">
        <f t="shared" si="73"/>
        <v>59582.080000000002</v>
      </c>
      <c r="AG167" s="112">
        <f t="shared" si="73"/>
        <v>19970.650000000001</v>
      </c>
      <c r="AH167" s="112">
        <f t="shared" si="73"/>
        <v>23969.59</v>
      </c>
      <c r="AI167" s="10">
        <f t="shared" si="74"/>
        <v>26330.046316350003</v>
      </c>
      <c r="AJ167" s="10">
        <f t="shared" si="75"/>
        <v>8743.00931141</v>
      </c>
      <c r="AK167" s="10">
        <f t="shared" si="76"/>
        <v>81.860667120000002</v>
      </c>
      <c r="AL167" s="10">
        <f t="shared" si="77"/>
        <v>8785.3237051200013</v>
      </c>
      <c r="AM167" s="10">
        <f t="shared" si="78"/>
        <v>0</v>
      </c>
      <c r="AN167" s="9">
        <f t="shared" si="79"/>
        <v>0</v>
      </c>
      <c r="AO167" s="10">
        <f t="shared" si="80"/>
        <v>0</v>
      </c>
      <c r="AP167" s="66">
        <f t="shared" si="81"/>
        <v>183838.84285496094</v>
      </c>
      <c r="AQ167" s="66">
        <f t="shared" si="82"/>
        <v>63951.687556957608</v>
      </c>
      <c r="AR167" s="66">
        <f t="shared" si="83"/>
        <v>595.82317599649934</v>
      </c>
      <c r="AS167" s="66">
        <f t="shared" si="84"/>
        <v>14895.579399912487</v>
      </c>
      <c r="AT167" s="66"/>
      <c r="AU167" s="4"/>
      <c r="AV167" s="4"/>
      <c r="AW167" s="4"/>
      <c r="AX167" s="4"/>
      <c r="AY167" s="4"/>
      <c r="AZ167" s="4"/>
      <c r="BA167" s="4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9">
        <f t="shared" si="68"/>
        <v>366804.25298782752</v>
      </c>
      <c r="BN167" s="9">
        <f t="shared" si="97"/>
        <v>282905.90043338854</v>
      </c>
      <c r="BO167" s="9">
        <f t="shared" si="85"/>
        <v>83220.668711322491</v>
      </c>
      <c r="BP167" s="9">
        <f t="shared" si="86"/>
        <v>677.68384311649936</v>
      </c>
      <c r="BQ167" s="10">
        <f t="shared" si="87"/>
        <v>0</v>
      </c>
      <c r="BR167" s="9">
        <f t="shared" si="88"/>
        <v>366804.25298782752</v>
      </c>
      <c r="BS167" s="142">
        <f t="shared" si="98"/>
        <v>247790.53041191853</v>
      </c>
      <c r="BT167" s="83">
        <f t="shared" si="89"/>
        <v>247791</v>
      </c>
      <c r="BU167" s="175">
        <f t="shared" si="90"/>
        <v>2.4194851547460858E-4</v>
      </c>
      <c r="BV167" s="173">
        <f t="shared" si="91"/>
        <v>59582.080000000002</v>
      </c>
      <c r="BW167" s="176">
        <f t="shared" si="92"/>
        <v>3.4738299887955966E-4</v>
      </c>
      <c r="BX167" s="177">
        <f t="shared" si="93"/>
        <v>0</v>
      </c>
      <c r="BY167" s="178">
        <f t="shared" si="94"/>
        <v>0</v>
      </c>
      <c r="BZ167" s="4"/>
      <c r="CA167" s="4"/>
      <c r="CB167" s="4"/>
      <c r="CC167" s="4"/>
      <c r="CD167" s="4"/>
      <c r="CE167" s="4"/>
      <c r="CF167" s="4"/>
      <c r="CG167" s="126">
        <f t="shared" si="95"/>
        <v>205674.13564050003</v>
      </c>
      <c r="CH167" s="126">
        <f t="shared" si="96"/>
        <v>84709.164359500006</v>
      </c>
      <c r="CI167" s="126"/>
      <c r="CJ167" s="126"/>
      <c r="CK167" s="9"/>
      <c r="CL167" s="9"/>
      <c r="CM167" s="127"/>
      <c r="CN167" s="9"/>
      <c r="CO167" s="9"/>
      <c r="CP167" s="9"/>
      <c r="CQ167" s="126"/>
      <c r="CR167" s="126"/>
      <c r="CS167" s="126"/>
      <c r="CT167" s="126"/>
      <c r="CU167" s="126"/>
      <c r="CV167" s="9"/>
      <c r="CW167" s="9"/>
      <c r="CX167" s="127"/>
      <c r="CY167" s="67"/>
      <c r="CZ167" s="67"/>
    </row>
    <row r="168" spans="1:104" x14ac:dyDescent="0.35">
      <c r="A168" s="143">
        <v>235</v>
      </c>
      <c r="B168" s="116" t="s">
        <v>616</v>
      </c>
      <c r="C168" s="144">
        <v>4622517.7751847534</v>
      </c>
      <c r="D168" s="144">
        <v>490731.64</v>
      </c>
      <c r="E168" s="144">
        <v>103493.02</v>
      </c>
      <c r="F168" s="145">
        <f t="shared" si="69"/>
        <v>594224.66</v>
      </c>
      <c r="G168" s="144"/>
      <c r="H168" s="144"/>
      <c r="I168" s="145"/>
      <c r="J168" s="144">
        <v>105512.37</v>
      </c>
      <c r="K168" s="144">
        <v>24153.29</v>
      </c>
      <c r="L168" s="145">
        <f t="shared" si="70"/>
        <v>129665.66</v>
      </c>
      <c r="M168" s="146">
        <v>48375.77</v>
      </c>
      <c r="N168" s="146">
        <v>0</v>
      </c>
      <c r="O168" s="145">
        <f t="shared" si="71"/>
        <v>48375.77</v>
      </c>
      <c r="P168" s="144">
        <v>300377.25</v>
      </c>
      <c r="Q168" s="144">
        <v>0</v>
      </c>
      <c r="R168" s="147">
        <f t="shared" si="72"/>
        <v>300377.25</v>
      </c>
      <c r="S168" s="117">
        <v>0</v>
      </c>
      <c r="T168" s="117">
        <v>0</v>
      </c>
      <c r="U168" s="146">
        <v>0</v>
      </c>
      <c r="V168" s="146">
        <v>0</v>
      </c>
      <c r="W168" s="4"/>
      <c r="X168" s="4"/>
      <c r="Y168" s="4"/>
      <c r="Z168" s="4"/>
      <c r="AA168" s="4"/>
      <c r="AB168" s="4"/>
      <c r="AC168" s="4"/>
      <c r="AD168" s="4"/>
      <c r="AE168" s="4"/>
      <c r="AF168" s="118">
        <f t="shared" si="73"/>
        <v>129665.66</v>
      </c>
      <c r="AG168" s="112">
        <f t="shared" si="73"/>
        <v>48375.77</v>
      </c>
      <c r="AH168" s="112">
        <f t="shared" si="73"/>
        <v>0</v>
      </c>
      <c r="AI168" s="10">
        <f t="shared" si="74"/>
        <v>27349.338321039995</v>
      </c>
      <c r="AJ168" s="10">
        <f t="shared" si="75"/>
        <v>11264.152917189998</v>
      </c>
      <c r="AK168" s="10">
        <f t="shared" si="76"/>
        <v>90.124059509999995</v>
      </c>
      <c r="AL168" s="10">
        <f t="shared" si="77"/>
        <v>9672.1547022599989</v>
      </c>
      <c r="AM168" s="10">
        <f t="shared" si="78"/>
        <v>0</v>
      </c>
      <c r="AN168" s="9">
        <f t="shared" si="79"/>
        <v>0</v>
      </c>
      <c r="AO168" s="10">
        <f t="shared" si="80"/>
        <v>0</v>
      </c>
      <c r="AP168" s="66">
        <f t="shared" si="81"/>
        <v>401581.69372900139</v>
      </c>
      <c r="AQ168" s="66">
        <f t="shared" si="82"/>
        <v>139172.92491094905</v>
      </c>
      <c r="AR168" s="66">
        <f t="shared" si="83"/>
        <v>1296.6421575554257</v>
      </c>
      <c r="AS168" s="66">
        <f t="shared" si="84"/>
        <v>32416.053938885645</v>
      </c>
      <c r="AT168" s="66"/>
      <c r="AU168" s="4"/>
      <c r="AV168" s="4"/>
      <c r="AW168" s="4"/>
      <c r="AX168" s="4"/>
      <c r="AY168" s="4"/>
      <c r="AZ168" s="4"/>
      <c r="BA168" s="4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9">
        <f t="shared" si="68"/>
        <v>752508.74473639159</v>
      </c>
      <c r="BN168" s="9">
        <f t="shared" si="97"/>
        <v>577776.11166325049</v>
      </c>
      <c r="BO168" s="9">
        <f t="shared" si="85"/>
        <v>173345.86685607565</v>
      </c>
      <c r="BP168" s="9">
        <f t="shared" si="86"/>
        <v>1386.7662170654257</v>
      </c>
      <c r="BQ168" s="10">
        <f t="shared" si="87"/>
        <v>0</v>
      </c>
      <c r="BR168" s="9">
        <f t="shared" si="88"/>
        <v>752508.74473639147</v>
      </c>
      <c r="BS168" s="142">
        <f t="shared" si="98"/>
        <v>540754.61863995041</v>
      </c>
      <c r="BT168" s="83">
        <f t="shared" si="89"/>
        <v>540755</v>
      </c>
      <c r="BU168" s="175">
        <f t="shared" si="90"/>
        <v>5.2800555775266644E-4</v>
      </c>
      <c r="BV168" s="173">
        <f t="shared" si="91"/>
        <v>129665.66</v>
      </c>
      <c r="BW168" s="176">
        <f t="shared" si="92"/>
        <v>7.5599317483540966E-4</v>
      </c>
      <c r="BX168" s="177">
        <f t="shared" si="93"/>
        <v>0</v>
      </c>
      <c r="BY168" s="178">
        <f t="shared" si="94"/>
        <v>0</v>
      </c>
      <c r="BZ168" s="4"/>
      <c r="CA168" s="4"/>
      <c r="CB168" s="4"/>
      <c r="CC168" s="4"/>
      <c r="CD168" s="4"/>
      <c r="CE168" s="4"/>
      <c r="CF168" s="4"/>
      <c r="CG168" s="126">
        <f t="shared" si="95"/>
        <v>420880.41330810002</v>
      </c>
      <c r="CH168" s="126">
        <f t="shared" si="96"/>
        <v>173344.24669189999</v>
      </c>
      <c r="CI168" s="126"/>
      <c r="CJ168" s="126"/>
      <c r="CK168" s="9"/>
      <c r="CL168" s="9"/>
      <c r="CM168" s="127"/>
      <c r="CN168" s="9"/>
      <c r="CO168" s="9"/>
      <c r="CP168" s="9"/>
      <c r="CQ168" s="126"/>
      <c r="CR168" s="126"/>
      <c r="CS168" s="126"/>
      <c r="CT168" s="126"/>
      <c r="CU168" s="126"/>
      <c r="CV168" s="9"/>
      <c r="CW168" s="9"/>
      <c r="CX168" s="127"/>
      <c r="CY168" s="67"/>
      <c r="CZ168" s="67"/>
    </row>
    <row r="169" spans="1:104" x14ac:dyDescent="0.35">
      <c r="A169" s="143">
        <v>238</v>
      </c>
      <c r="B169" s="116" t="s">
        <v>617</v>
      </c>
      <c r="C169" s="144">
        <v>10112627.071178529</v>
      </c>
      <c r="D169" s="144">
        <v>1066834.83</v>
      </c>
      <c r="E169" s="144">
        <v>233143.38</v>
      </c>
      <c r="F169" s="145">
        <f t="shared" si="69"/>
        <v>1299978.21</v>
      </c>
      <c r="G169" s="144"/>
      <c r="H169" s="144"/>
      <c r="I169" s="145"/>
      <c r="J169" s="144">
        <v>243984.08</v>
      </c>
      <c r="K169" s="144">
        <v>52156.160000000003</v>
      </c>
      <c r="L169" s="145">
        <f t="shared" si="70"/>
        <v>296140.24</v>
      </c>
      <c r="M169" s="146">
        <v>26764.7</v>
      </c>
      <c r="N169" s="146">
        <v>12097.57</v>
      </c>
      <c r="O169" s="145">
        <f t="shared" si="71"/>
        <v>38862.270000000004</v>
      </c>
      <c r="P169" s="144">
        <v>166188.72</v>
      </c>
      <c r="Q169" s="144">
        <v>75116.87</v>
      </c>
      <c r="R169" s="147">
        <f t="shared" si="72"/>
        <v>241305.59</v>
      </c>
      <c r="S169" s="117">
        <v>0</v>
      </c>
      <c r="T169" s="117">
        <v>0</v>
      </c>
      <c r="U169" s="146">
        <v>0</v>
      </c>
      <c r="V169" s="146">
        <v>0</v>
      </c>
      <c r="W169" s="4"/>
      <c r="X169" s="4"/>
      <c r="Y169" s="4"/>
      <c r="Z169" s="4"/>
      <c r="AA169" s="4"/>
      <c r="AB169" s="4"/>
      <c r="AC169" s="4"/>
      <c r="AD169" s="4"/>
      <c r="AE169" s="4"/>
      <c r="AF169" s="118">
        <f t="shared" si="73"/>
        <v>296140.24</v>
      </c>
      <c r="AG169" s="112">
        <f t="shared" si="73"/>
        <v>26764.7</v>
      </c>
      <c r="AH169" s="112">
        <f t="shared" si="73"/>
        <v>12097.57</v>
      </c>
      <c r="AI169" s="10">
        <f t="shared" si="74"/>
        <v>22722.03648305</v>
      </c>
      <c r="AJ169" s="10">
        <f t="shared" si="75"/>
        <v>8297.78856868</v>
      </c>
      <c r="AK169" s="10">
        <f t="shared" si="76"/>
        <v>72.400409010000004</v>
      </c>
      <c r="AL169" s="10">
        <f t="shared" si="77"/>
        <v>7770.0445392600004</v>
      </c>
      <c r="AM169" s="10">
        <f t="shared" si="78"/>
        <v>0</v>
      </c>
      <c r="AN169" s="9">
        <f t="shared" si="79"/>
        <v>0</v>
      </c>
      <c r="AO169" s="10">
        <f t="shared" si="80"/>
        <v>0</v>
      </c>
      <c r="AP169" s="66">
        <f t="shared" si="81"/>
        <v>916169.04889409407</v>
      </c>
      <c r="AQ169" s="66">
        <f t="shared" si="82"/>
        <v>317856.55169394868</v>
      </c>
      <c r="AR169" s="66">
        <f t="shared" si="83"/>
        <v>2961.3964443535588</v>
      </c>
      <c r="AS169" s="66">
        <f t="shared" si="84"/>
        <v>74034.911108838976</v>
      </c>
      <c r="AT169" s="66"/>
      <c r="AU169" s="4"/>
      <c r="AV169" s="4"/>
      <c r="AW169" s="4"/>
      <c r="AX169" s="4"/>
      <c r="AY169" s="4"/>
      <c r="AZ169" s="4"/>
      <c r="BA169" s="4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9">
        <f t="shared" si="68"/>
        <v>1646024.4181412354</v>
      </c>
      <c r="BN169" s="9">
        <f t="shared" si="97"/>
        <v>1264517.6816103528</v>
      </c>
      <c r="BO169" s="9">
        <f t="shared" si="85"/>
        <v>378472.93967751897</v>
      </c>
      <c r="BP169" s="9">
        <f t="shared" si="86"/>
        <v>3033.796853363559</v>
      </c>
      <c r="BQ169" s="10">
        <f t="shared" si="87"/>
        <v>0</v>
      </c>
      <c r="BR169" s="9">
        <f t="shared" si="88"/>
        <v>1646024.4181412354</v>
      </c>
      <c r="BS169" s="142">
        <f t="shared" si="98"/>
        <v>1234025.6005880428</v>
      </c>
      <c r="BT169" s="83">
        <f t="shared" si="89"/>
        <v>1234026</v>
      </c>
      <c r="BU169" s="175">
        <f t="shared" si="90"/>
        <v>1.2049316881626005E-3</v>
      </c>
      <c r="BV169" s="173">
        <f t="shared" si="91"/>
        <v>296140.24</v>
      </c>
      <c r="BW169" s="176">
        <f t="shared" si="92"/>
        <v>1.7265943830781423E-3</v>
      </c>
      <c r="BX169" s="177">
        <f t="shared" si="93"/>
        <v>0</v>
      </c>
      <c r="BY169" s="178">
        <f t="shared" si="94"/>
        <v>0</v>
      </c>
      <c r="BZ169" s="4"/>
      <c r="CA169" s="4"/>
      <c r="CB169" s="4"/>
      <c r="CC169" s="4"/>
      <c r="CD169" s="4"/>
      <c r="CE169" s="4"/>
      <c r="CF169" s="4"/>
      <c r="CG169" s="126">
        <f t="shared" si="95"/>
        <v>920755.06646985014</v>
      </c>
      <c r="CH169" s="126">
        <f t="shared" si="96"/>
        <v>379223.14353015006</v>
      </c>
      <c r="CI169" s="126"/>
      <c r="CJ169" s="126"/>
      <c r="CK169" s="9"/>
      <c r="CL169" s="9"/>
      <c r="CM169" s="127"/>
      <c r="CN169" s="9"/>
      <c r="CO169" s="9"/>
      <c r="CP169" s="9"/>
      <c r="CQ169" s="126"/>
      <c r="CR169" s="126"/>
      <c r="CS169" s="126"/>
      <c r="CT169" s="126"/>
      <c r="CU169" s="126"/>
      <c r="CV169" s="9"/>
      <c r="CW169" s="9"/>
      <c r="CX169" s="127"/>
      <c r="CY169" s="67"/>
      <c r="CZ169" s="67"/>
    </row>
    <row r="170" spans="1:104" x14ac:dyDescent="0.35">
      <c r="A170" s="143">
        <v>239</v>
      </c>
      <c r="B170" s="116" t="s">
        <v>618</v>
      </c>
      <c r="C170" s="144">
        <v>4840350.7584597431</v>
      </c>
      <c r="D170" s="144">
        <v>376016.29</v>
      </c>
      <c r="E170" s="144">
        <v>246210.8</v>
      </c>
      <c r="F170" s="145">
        <f t="shared" si="69"/>
        <v>622227.09</v>
      </c>
      <c r="G170" s="144"/>
      <c r="H170" s="144"/>
      <c r="I170" s="145"/>
      <c r="J170" s="144">
        <v>70842.600000000006</v>
      </c>
      <c r="K170" s="144">
        <v>52804.71</v>
      </c>
      <c r="L170" s="145">
        <f t="shared" si="70"/>
        <v>123647.31</v>
      </c>
      <c r="M170" s="146">
        <v>90775.7</v>
      </c>
      <c r="N170" s="146">
        <v>24985.03</v>
      </c>
      <c r="O170" s="145">
        <f t="shared" si="71"/>
        <v>115760.73</v>
      </c>
      <c r="P170" s="144">
        <v>563649.04</v>
      </c>
      <c r="Q170" s="144">
        <v>155138.16</v>
      </c>
      <c r="R170" s="147">
        <f t="shared" si="72"/>
        <v>718787.20000000007</v>
      </c>
      <c r="S170" s="117">
        <v>0</v>
      </c>
      <c r="T170" s="117">
        <v>0</v>
      </c>
      <c r="U170" s="146">
        <v>0</v>
      </c>
      <c r="V170" s="146">
        <v>0</v>
      </c>
      <c r="W170" s="4"/>
      <c r="X170" s="4"/>
      <c r="Y170" s="4"/>
      <c r="Z170" s="4"/>
      <c r="AA170" s="4"/>
      <c r="AB170" s="4"/>
      <c r="AC170" s="4"/>
      <c r="AD170" s="4"/>
      <c r="AE170" s="4"/>
      <c r="AF170" s="118">
        <f t="shared" si="73"/>
        <v>123647.31</v>
      </c>
      <c r="AG170" s="112">
        <f t="shared" si="73"/>
        <v>90775.7</v>
      </c>
      <c r="AH170" s="112">
        <f t="shared" si="73"/>
        <v>24985.03</v>
      </c>
      <c r="AI170" s="10">
        <f t="shared" si="74"/>
        <v>66996.955694749995</v>
      </c>
      <c r="AJ170" s="10">
        <f t="shared" si="75"/>
        <v>25403.14323052</v>
      </c>
      <c r="AK170" s="10">
        <f t="shared" si="76"/>
        <v>215.66223998999999</v>
      </c>
      <c r="AL170" s="10">
        <f t="shared" si="77"/>
        <v>23144.968834740001</v>
      </c>
      <c r="AM170" s="10">
        <f t="shared" si="78"/>
        <v>0</v>
      </c>
      <c r="AN170" s="9">
        <f t="shared" si="79"/>
        <v>0</v>
      </c>
      <c r="AO170" s="10">
        <f t="shared" si="80"/>
        <v>0</v>
      </c>
      <c r="AP170" s="66">
        <f t="shared" si="81"/>
        <v>392869.90144015558</v>
      </c>
      <c r="AQ170" s="66">
        <f t="shared" si="82"/>
        <v>132714.34658240373</v>
      </c>
      <c r="AR170" s="66">
        <f t="shared" si="83"/>
        <v>1236.4690675379229</v>
      </c>
      <c r="AS170" s="66">
        <f t="shared" si="84"/>
        <v>30911.72668844807</v>
      </c>
      <c r="AT170" s="66"/>
      <c r="AU170" s="4"/>
      <c r="AV170" s="4"/>
      <c r="AW170" s="4"/>
      <c r="AX170" s="4"/>
      <c r="AY170" s="4"/>
      <c r="AZ170" s="4"/>
      <c r="BA170" s="4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9">
        <f t="shared" si="68"/>
        <v>797140.4837785454</v>
      </c>
      <c r="BN170" s="9">
        <f t="shared" si="97"/>
        <v>615726.17255204928</v>
      </c>
      <c r="BO170" s="9">
        <f t="shared" si="85"/>
        <v>179962.17991896809</v>
      </c>
      <c r="BP170" s="9">
        <f t="shared" si="86"/>
        <v>1452.1313075279229</v>
      </c>
      <c r="BQ170" s="10">
        <f t="shared" si="87"/>
        <v>0</v>
      </c>
      <c r="BR170" s="9">
        <f t="shared" si="88"/>
        <v>797140.48377854528</v>
      </c>
      <c r="BS170" s="142">
        <f t="shared" si="98"/>
        <v>525584.24802255933</v>
      </c>
      <c r="BT170" s="83">
        <f t="shared" si="89"/>
        <v>525584</v>
      </c>
      <c r="BU170" s="175">
        <f t="shared" si="90"/>
        <v>5.1319285024533853E-4</v>
      </c>
      <c r="BV170" s="173">
        <f t="shared" si="91"/>
        <v>123647.31</v>
      </c>
      <c r="BW170" s="176">
        <f t="shared" si="92"/>
        <v>7.2090422743198229E-4</v>
      </c>
      <c r="BX170" s="177">
        <f t="shared" si="93"/>
        <v>0</v>
      </c>
      <c r="BY170" s="178">
        <f t="shared" si="94"/>
        <v>0</v>
      </c>
      <c r="BZ170" s="4"/>
      <c r="CA170" s="4"/>
      <c r="CB170" s="4"/>
      <c r="CC170" s="4"/>
      <c r="CD170" s="4"/>
      <c r="CE170" s="4"/>
      <c r="CF170" s="4"/>
      <c r="CG170" s="126">
        <f t="shared" si="95"/>
        <v>440714.11444064998</v>
      </c>
      <c r="CH170" s="126">
        <f t="shared" si="96"/>
        <v>181512.97555934999</v>
      </c>
      <c r="CI170" s="126"/>
      <c r="CJ170" s="126"/>
      <c r="CK170" s="9"/>
      <c r="CL170" s="9"/>
      <c r="CM170" s="127"/>
      <c r="CN170" s="9"/>
      <c r="CO170" s="9"/>
      <c r="CP170" s="9"/>
      <c r="CQ170" s="126"/>
      <c r="CR170" s="126"/>
      <c r="CS170" s="126"/>
      <c r="CT170" s="126"/>
      <c r="CU170" s="126"/>
      <c r="CV170" s="9"/>
      <c r="CW170" s="9"/>
      <c r="CX170" s="127"/>
      <c r="CY170" s="67"/>
      <c r="CZ170" s="67"/>
    </row>
    <row r="171" spans="1:104" x14ac:dyDescent="0.35">
      <c r="A171" s="143">
        <v>240</v>
      </c>
      <c r="B171" s="116" t="s">
        <v>619</v>
      </c>
      <c r="C171" s="144">
        <v>1865789.5760404512</v>
      </c>
      <c r="D171" s="144">
        <v>190761.2</v>
      </c>
      <c r="E171" s="144">
        <v>49086.05</v>
      </c>
      <c r="F171" s="145">
        <f t="shared" si="69"/>
        <v>239847.25</v>
      </c>
      <c r="G171" s="144"/>
      <c r="H171" s="144"/>
      <c r="I171" s="145"/>
      <c r="J171" s="144">
        <v>42436.98</v>
      </c>
      <c r="K171" s="144">
        <v>11219.4</v>
      </c>
      <c r="L171" s="145">
        <f t="shared" si="70"/>
        <v>53656.380000000005</v>
      </c>
      <c r="M171" s="146">
        <v>11173.08</v>
      </c>
      <c r="N171" s="146">
        <v>1266.53</v>
      </c>
      <c r="O171" s="145">
        <f t="shared" si="71"/>
        <v>12439.61</v>
      </c>
      <c r="P171" s="144">
        <v>69376.479999999996</v>
      </c>
      <c r="Q171" s="144">
        <v>7864.23</v>
      </c>
      <c r="R171" s="147">
        <f t="shared" si="72"/>
        <v>77240.709999999992</v>
      </c>
      <c r="S171" s="117">
        <v>0</v>
      </c>
      <c r="T171" s="117">
        <v>0</v>
      </c>
      <c r="U171" s="146">
        <v>0</v>
      </c>
      <c r="V171" s="146">
        <v>0</v>
      </c>
      <c r="W171" s="4"/>
      <c r="X171" s="4"/>
      <c r="Y171" s="4"/>
      <c r="Z171" s="4"/>
      <c r="AA171" s="4"/>
      <c r="AB171" s="4"/>
      <c r="AC171" s="4"/>
      <c r="AD171" s="4"/>
      <c r="AE171" s="4"/>
      <c r="AF171" s="118">
        <f t="shared" si="73"/>
        <v>53656.380000000005</v>
      </c>
      <c r="AG171" s="112">
        <f t="shared" si="73"/>
        <v>11173.08</v>
      </c>
      <c r="AH171" s="112">
        <f t="shared" si="73"/>
        <v>1266.53</v>
      </c>
      <c r="AI171" s="10">
        <f t="shared" si="74"/>
        <v>7111.4010400099996</v>
      </c>
      <c r="AJ171" s="10">
        <f t="shared" si="75"/>
        <v>2817.88322238</v>
      </c>
      <c r="AK171" s="10">
        <f t="shared" si="76"/>
        <v>23.174993430000001</v>
      </c>
      <c r="AL171" s="10">
        <f t="shared" si="77"/>
        <v>2487.1507441799999</v>
      </c>
      <c r="AM171" s="10">
        <f t="shared" si="78"/>
        <v>0</v>
      </c>
      <c r="AN171" s="9">
        <f t="shared" si="79"/>
        <v>0</v>
      </c>
      <c r="AO171" s="10">
        <f t="shared" si="80"/>
        <v>0</v>
      </c>
      <c r="AP171" s="66">
        <f t="shared" si="81"/>
        <v>166587.17224858794</v>
      </c>
      <c r="AQ171" s="66">
        <f t="shared" si="82"/>
        <v>57591.273486502534</v>
      </c>
      <c r="AR171" s="66">
        <f t="shared" si="83"/>
        <v>536.56465981213535</v>
      </c>
      <c r="AS171" s="66">
        <f t="shared" si="84"/>
        <v>13414.116495303384</v>
      </c>
      <c r="AT171" s="66"/>
      <c r="AU171" s="4"/>
      <c r="AV171" s="4"/>
      <c r="AW171" s="4"/>
      <c r="AX171" s="4"/>
      <c r="AY171" s="4"/>
      <c r="AZ171" s="4"/>
      <c r="BA171" s="4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9">
        <f t="shared" si="68"/>
        <v>304225.116890206</v>
      </c>
      <c r="BN171" s="9">
        <f t="shared" si="97"/>
        <v>233776.99751928047</v>
      </c>
      <c r="BO171" s="9">
        <f t="shared" si="85"/>
        <v>69888.37971768339</v>
      </c>
      <c r="BP171" s="9">
        <f t="shared" si="86"/>
        <v>559.73965324213532</v>
      </c>
      <c r="BQ171" s="10">
        <f t="shared" si="87"/>
        <v>0</v>
      </c>
      <c r="BR171" s="9">
        <f t="shared" si="88"/>
        <v>304225.11689020594</v>
      </c>
      <c r="BS171" s="142">
        <f t="shared" si="98"/>
        <v>224178.44573509047</v>
      </c>
      <c r="BT171" s="83">
        <f t="shared" si="89"/>
        <v>224178</v>
      </c>
      <c r="BU171" s="175">
        <f t="shared" si="90"/>
        <v>2.1889311934900863E-4</v>
      </c>
      <c r="BV171" s="173">
        <f t="shared" si="91"/>
        <v>53656.380000000005</v>
      </c>
      <c r="BW171" s="176">
        <f t="shared" si="92"/>
        <v>3.1283423125579414E-4</v>
      </c>
      <c r="BX171" s="177">
        <f t="shared" si="93"/>
        <v>0</v>
      </c>
      <c r="BY171" s="178">
        <f t="shared" si="94"/>
        <v>0</v>
      </c>
      <c r="BZ171" s="4"/>
      <c r="CA171" s="4"/>
      <c r="CB171" s="4"/>
      <c r="CC171" s="4"/>
      <c r="CD171" s="4"/>
      <c r="CE171" s="4"/>
      <c r="CF171" s="4"/>
      <c r="CG171" s="126">
        <f t="shared" si="95"/>
        <v>169880.20946625003</v>
      </c>
      <c r="CH171" s="126">
        <f t="shared" si="96"/>
        <v>69967.040533749998</v>
      </c>
      <c r="CI171" s="126"/>
      <c r="CJ171" s="126"/>
      <c r="CK171" s="9"/>
      <c r="CL171" s="9"/>
      <c r="CM171" s="127"/>
      <c r="CN171" s="9"/>
      <c r="CO171" s="9"/>
      <c r="CP171" s="9"/>
      <c r="CQ171" s="126"/>
      <c r="CR171" s="126"/>
      <c r="CS171" s="126"/>
      <c r="CT171" s="126"/>
      <c r="CU171" s="126"/>
      <c r="CV171" s="9"/>
      <c r="CW171" s="9"/>
      <c r="CX171" s="127"/>
      <c r="CY171" s="67"/>
      <c r="CZ171" s="67"/>
    </row>
    <row r="172" spans="1:104" x14ac:dyDescent="0.35">
      <c r="A172" s="143">
        <v>245</v>
      </c>
      <c r="B172" s="116" t="s">
        <v>620</v>
      </c>
      <c r="C172" s="144">
        <v>1194189.3426682225</v>
      </c>
      <c r="D172" s="144">
        <v>91936.45</v>
      </c>
      <c r="E172" s="144">
        <v>61576.59</v>
      </c>
      <c r="F172" s="145">
        <f t="shared" si="69"/>
        <v>153513.03999999998</v>
      </c>
      <c r="G172" s="144"/>
      <c r="H172" s="144"/>
      <c r="I172" s="145"/>
      <c r="J172" s="144">
        <v>19651.7</v>
      </c>
      <c r="K172" s="144">
        <v>13502.18</v>
      </c>
      <c r="L172" s="145">
        <f t="shared" si="70"/>
        <v>33153.880000000005</v>
      </c>
      <c r="M172" s="146">
        <v>9682</v>
      </c>
      <c r="N172" s="146">
        <v>4660.12</v>
      </c>
      <c r="O172" s="145">
        <f t="shared" si="71"/>
        <v>14342.119999999999</v>
      </c>
      <c r="P172" s="144">
        <v>60118.080000000002</v>
      </c>
      <c r="Q172" s="144">
        <v>28935.84</v>
      </c>
      <c r="R172" s="147">
        <f t="shared" si="72"/>
        <v>89053.92</v>
      </c>
      <c r="S172" s="117">
        <v>11558.4</v>
      </c>
      <c r="T172" s="117">
        <v>0</v>
      </c>
      <c r="U172" s="146">
        <v>0</v>
      </c>
      <c r="V172" s="146">
        <v>0</v>
      </c>
      <c r="W172" s="4"/>
      <c r="X172" s="4"/>
      <c r="Y172" s="4"/>
      <c r="Z172" s="4"/>
      <c r="AA172" s="4"/>
      <c r="AB172" s="4"/>
      <c r="AC172" s="4"/>
      <c r="AD172" s="4"/>
      <c r="AE172" s="4"/>
      <c r="AF172" s="118">
        <f t="shared" si="73"/>
        <v>33153.880000000005</v>
      </c>
      <c r="AG172" s="112">
        <f t="shared" si="73"/>
        <v>9682</v>
      </c>
      <c r="AH172" s="112">
        <f t="shared" si="73"/>
        <v>4660.12</v>
      </c>
      <c r="AI172" s="10">
        <f t="shared" si="74"/>
        <v>8397.707057399999</v>
      </c>
      <c r="AJ172" s="10">
        <f t="shared" si="75"/>
        <v>3050.1587844799997</v>
      </c>
      <c r="AK172" s="10">
        <f t="shared" si="76"/>
        <v>26.719369560000004</v>
      </c>
      <c r="AL172" s="10">
        <f t="shared" si="77"/>
        <v>2867.5347885599999</v>
      </c>
      <c r="AM172" s="10">
        <f t="shared" si="78"/>
        <v>11558.4</v>
      </c>
      <c r="AN172" s="9">
        <f t="shared" si="79"/>
        <v>0</v>
      </c>
      <c r="AO172" s="10">
        <f t="shared" si="80"/>
        <v>0</v>
      </c>
      <c r="AP172" s="66">
        <f t="shared" si="81"/>
        <v>105123.31051538857</v>
      </c>
      <c r="AQ172" s="66">
        <f t="shared" si="82"/>
        <v>35585.360609916766</v>
      </c>
      <c r="AR172" s="66">
        <f t="shared" si="83"/>
        <v>331.54062680046673</v>
      </c>
      <c r="AS172" s="66">
        <f t="shared" si="84"/>
        <v>8288.5156700116677</v>
      </c>
      <c r="AT172" s="66"/>
      <c r="AU172" s="4"/>
      <c r="AV172" s="4"/>
      <c r="AW172" s="4"/>
      <c r="AX172" s="4"/>
      <c r="AY172" s="4"/>
      <c r="AZ172" s="4"/>
      <c r="BA172" s="4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9">
        <f t="shared" si="68"/>
        <v>208383.12742211748</v>
      </c>
      <c r="BN172" s="9">
        <f t="shared" si="97"/>
        <v>163532.31297126535</v>
      </c>
      <c r="BO172" s="9">
        <f t="shared" si="85"/>
        <v>44492.554454491677</v>
      </c>
      <c r="BP172" s="9">
        <f t="shared" si="86"/>
        <v>358.25999636046674</v>
      </c>
      <c r="BQ172" s="10">
        <f t="shared" si="87"/>
        <v>0</v>
      </c>
      <c r="BR172" s="9">
        <f t="shared" si="88"/>
        <v>208383.12742211748</v>
      </c>
      <c r="BS172" s="142">
        <f t="shared" si="98"/>
        <v>140708.67112530535</v>
      </c>
      <c r="BT172" s="83">
        <f t="shared" si="89"/>
        <v>140709</v>
      </c>
      <c r="BU172" s="175">
        <f t="shared" si="90"/>
        <v>1.3739126364747896E-4</v>
      </c>
      <c r="BV172" s="173">
        <f t="shared" si="91"/>
        <v>33153.880000000005</v>
      </c>
      <c r="BW172" s="176">
        <f t="shared" si="92"/>
        <v>1.9329795567548256E-4</v>
      </c>
      <c r="BX172" s="177">
        <f t="shared" si="93"/>
        <v>0</v>
      </c>
      <c r="BY172" s="178">
        <f t="shared" si="94"/>
        <v>0</v>
      </c>
      <c r="BZ172" s="4"/>
      <c r="CA172" s="4"/>
      <c r="CB172" s="4"/>
      <c r="CC172" s="4"/>
      <c r="CD172" s="4"/>
      <c r="CE172" s="4"/>
      <c r="CF172" s="4"/>
      <c r="CG172" s="126">
        <f t="shared" si="95"/>
        <v>108730.98353640002</v>
      </c>
      <c r="CH172" s="126">
        <f t="shared" si="96"/>
        <v>44782.056463599998</v>
      </c>
      <c r="CI172" s="126"/>
      <c r="CJ172" s="126"/>
      <c r="CK172" s="9"/>
      <c r="CL172" s="9"/>
      <c r="CM172" s="127"/>
      <c r="CN172" s="9"/>
      <c r="CO172" s="9"/>
      <c r="CP172" s="9"/>
      <c r="CQ172" s="126"/>
      <c r="CR172" s="126"/>
      <c r="CS172" s="126"/>
      <c r="CT172" s="126"/>
      <c r="CU172" s="126"/>
      <c r="CV172" s="9"/>
      <c r="CW172" s="9"/>
      <c r="CX172" s="127"/>
      <c r="CY172" s="67"/>
      <c r="CZ172" s="67"/>
    </row>
    <row r="173" spans="1:104" x14ac:dyDescent="0.35">
      <c r="A173" s="143">
        <v>246</v>
      </c>
      <c r="B173" s="116" t="s">
        <v>621</v>
      </c>
      <c r="C173" s="144">
        <v>7457039.4399066512</v>
      </c>
      <c r="D173" s="144">
        <v>736847.26</v>
      </c>
      <c r="E173" s="144">
        <v>221755.16</v>
      </c>
      <c r="F173" s="145">
        <f t="shared" si="69"/>
        <v>958602.42</v>
      </c>
      <c r="G173" s="144"/>
      <c r="H173" s="144"/>
      <c r="I173" s="145"/>
      <c r="J173" s="144">
        <v>160526.31</v>
      </c>
      <c r="K173" s="144">
        <v>46130.7</v>
      </c>
      <c r="L173" s="145">
        <f t="shared" si="70"/>
        <v>206657.01</v>
      </c>
      <c r="M173" s="146">
        <v>61378.44</v>
      </c>
      <c r="N173" s="146">
        <v>30175.51</v>
      </c>
      <c r="O173" s="145">
        <f t="shared" si="71"/>
        <v>91553.95</v>
      </c>
      <c r="P173" s="144">
        <v>381114.47</v>
      </c>
      <c r="Q173" s="144">
        <v>187368.67</v>
      </c>
      <c r="R173" s="147">
        <f t="shared" si="72"/>
        <v>568483.14</v>
      </c>
      <c r="S173" s="117">
        <v>0</v>
      </c>
      <c r="T173" s="117">
        <v>0</v>
      </c>
      <c r="U173" s="146">
        <v>0</v>
      </c>
      <c r="V173" s="146">
        <v>0</v>
      </c>
      <c r="W173" s="4"/>
      <c r="X173" s="4"/>
      <c r="Y173" s="4"/>
      <c r="Z173" s="4"/>
      <c r="AA173" s="4"/>
      <c r="AB173" s="4"/>
      <c r="AC173" s="4"/>
      <c r="AD173" s="4"/>
      <c r="AE173" s="4"/>
      <c r="AF173" s="118">
        <f t="shared" si="73"/>
        <v>206657.01</v>
      </c>
      <c r="AG173" s="112">
        <f t="shared" si="73"/>
        <v>61378.44</v>
      </c>
      <c r="AH173" s="112">
        <f t="shared" si="73"/>
        <v>30175.51</v>
      </c>
      <c r="AI173" s="10">
        <f t="shared" si="74"/>
        <v>53633.896682830004</v>
      </c>
      <c r="AJ173" s="10">
        <f t="shared" si="75"/>
        <v>19444.374653219998</v>
      </c>
      <c r="AK173" s="10">
        <f t="shared" si="76"/>
        <v>170.56500885</v>
      </c>
      <c r="AL173" s="10">
        <f t="shared" si="77"/>
        <v>18305.113655100002</v>
      </c>
      <c r="AM173" s="10">
        <f t="shared" si="78"/>
        <v>0</v>
      </c>
      <c r="AN173" s="9">
        <f t="shared" si="79"/>
        <v>0</v>
      </c>
      <c r="AO173" s="10">
        <f t="shared" si="80"/>
        <v>0</v>
      </c>
      <c r="AP173" s="66">
        <f t="shared" si="81"/>
        <v>642579.86304516264</v>
      </c>
      <c r="AQ173" s="66">
        <f t="shared" si="82"/>
        <v>221811.51285699417</v>
      </c>
      <c r="AR173" s="66">
        <f t="shared" si="83"/>
        <v>2066.5668899719954</v>
      </c>
      <c r="AS173" s="66">
        <f t="shared" si="84"/>
        <v>51664.172249299882</v>
      </c>
      <c r="AT173" s="66"/>
      <c r="AU173" s="4"/>
      <c r="AV173" s="4"/>
      <c r="AW173" s="4"/>
      <c r="AX173" s="4"/>
      <c r="AY173" s="4"/>
      <c r="AZ173" s="4"/>
      <c r="BA173" s="4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9">
        <f t="shared" si="68"/>
        <v>1216333.0750414287</v>
      </c>
      <c r="BN173" s="9">
        <f t="shared" si="97"/>
        <v>936330.38624008687</v>
      </c>
      <c r="BO173" s="9">
        <f t="shared" si="85"/>
        <v>277765.55690251989</v>
      </c>
      <c r="BP173" s="9">
        <f t="shared" si="86"/>
        <v>2237.1318988219955</v>
      </c>
      <c r="BQ173" s="10">
        <f t="shared" si="87"/>
        <v>0</v>
      </c>
      <c r="BR173" s="9">
        <f t="shared" si="88"/>
        <v>1216333.0750414289</v>
      </c>
      <c r="BS173" s="142">
        <f t="shared" si="98"/>
        <v>864391.37590215681</v>
      </c>
      <c r="BT173" s="83">
        <f t="shared" si="89"/>
        <v>864391</v>
      </c>
      <c r="BU173" s="175">
        <f t="shared" si="90"/>
        <v>8.4401211717379573E-4</v>
      </c>
      <c r="BV173" s="173">
        <f t="shared" si="91"/>
        <v>206657.01</v>
      </c>
      <c r="BW173" s="176">
        <f t="shared" si="92"/>
        <v>1.2048779074729037E-3</v>
      </c>
      <c r="BX173" s="177">
        <f t="shared" si="93"/>
        <v>0</v>
      </c>
      <c r="BY173" s="178">
        <f t="shared" si="94"/>
        <v>0</v>
      </c>
      <c r="BZ173" s="4"/>
      <c r="CA173" s="4"/>
      <c r="CB173" s="4"/>
      <c r="CC173" s="4"/>
      <c r="CD173" s="4"/>
      <c r="CE173" s="4"/>
      <c r="CF173" s="4"/>
      <c r="CG173" s="126">
        <f t="shared" si="95"/>
        <v>678963.7150497</v>
      </c>
      <c r="CH173" s="126">
        <f t="shared" si="96"/>
        <v>279638.70495030005</v>
      </c>
      <c r="CI173" s="126"/>
      <c r="CJ173" s="126"/>
      <c r="CK173" s="9"/>
      <c r="CL173" s="9"/>
      <c r="CM173" s="127"/>
      <c r="CN173" s="9"/>
      <c r="CO173" s="9"/>
      <c r="CP173" s="9"/>
      <c r="CQ173" s="126"/>
      <c r="CR173" s="126"/>
      <c r="CS173" s="126"/>
      <c r="CT173" s="126"/>
      <c r="CU173" s="126"/>
      <c r="CV173" s="9"/>
      <c r="CW173" s="9"/>
      <c r="CX173" s="127"/>
      <c r="CY173" s="67"/>
      <c r="CZ173" s="67"/>
    </row>
    <row r="174" spans="1:104" x14ac:dyDescent="0.35">
      <c r="A174" s="143">
        <v>247</v>
      </c>
      <c r="B174" s="116" t="s">
        <v>622</v>
      </c>
      <c r="C174" s="144">
        <v>1126335.2781019059</v>
      </c>
      <c r="D174" s="144">
        <v>106761.22</v>
      </c>
      <c r="E174" s="144">
        <v>38029.18</v>
      </c>
      <c r="F174" s="145">
        <f t="shared" si="69"/>
        <v>144790.39999999999</v>
      </c>
      <c r="G174" s="144"/>
      <c r="H174" s="144"/>
      <c r="I174" s="145"/>
      <c r="J174" s="144">
        <v>21454.9</v>
      </c>
      <c r="K174" s="144">
        <v>7866.49</v>
      </c>
      <c r="L174" s="145">
        <f t="shared" si="70"/>
        <v>29321.39</v>
      </c>
      <c r="M174" s="146">
        <v>18575.68</v>
      </c>
      <c r="N174" s="146">
        <v>5415.23</v>
      </c>
      <c r="O174" s="145">
        <f t="shared" si="71"/>
        <v>23990.91</v>
      </c>
      <c r="P174" s="144">
        <v>115341.02</v>
      </c>
      <c r="Q174" s="144">
        <v>33624.410000000003</v>
      </c>
      <c r="R174" s="147">
        <f t="shared" si="72"/>
        <v>148965.43</v>
      </c>
      <c r="S174" s="117">
        <v>0</v>
      </c>
      <c r="T174" s="117">
        <v>0</v>
      </c>
      <c r="U174" s="146">
        <v>0</v>
      </c>
      <c r="V174" s="146">
        <v>0</v>
      </c>
      <c r="W174" s="4"/>
      <c r="X174" s="4"/>
      <c r="Y174" s="4"/>
      <c r="Z174" s="4"/>
      <c r="AA174" s="4"/>
      <c r="AB174" s="4"/>
      <c r="AC174" s="4"/>
      <c r="AD174" s="4"/>
      <c r="AE174" s="4"/>
      <c r="AF174" s="118">
        <f t="shared" si="73"/>
        <v>29321.39</v>
      </c>
      <c r="AG174" s="112">
        <f t="shared" si="73"/>
        <v>18575.68</v>
      </c>
      <c r="AH174" s="112">
        <f t="shared" si="73"/>
        <v>5415.23</v>
      </c>
      <c r="AI174" s="10">
        <f t="shared" si="74"/>
        <v>13899.556826709999</v>
      </c>
      <c r="AJ174" s="10">
        <f t="shared" si="75"/>
        <v>5249.9635443799998</v>
      </c>
      <c r="AK174" s="10">
        <f t="shared" si="76"/>
        <v>44.695065330000006</v>
      </c>
      <c r="AL174" s="10">
        <f t="shared" si="77"/>
        <v>4796.6945635800002</v>
      </c>
      <c r="AM174" s="10">
        <f t="shared" si="78"/>
        <v>0</v>
      </c>
      <c r="AN174" s="9">
        <f t="shared" si="79"/>
        <v>0</v>
      </c>
      <c r="AO174" s="10">
        <f t="shared" si="80"/>
        <v>0</v>
      </c>
      <c r="AP174" s="66">
        <f t="shared" si="81"/>
        <v>91611.598733816994</v>
      </c>
      <c r="AQ174" s="66">
        <f t="shared" si="82"/>
        <v>31471.309108881367</v>
      </c>
      <c r="AR174" s="66">
        <f t="shared" si="83"/>
        <v>293.21095443057175</v>
      </c>
      <c r="AS174" s="66">
        <f t="shared" si="84"/>
        <v>7330.2738607642941</v>
      </c>
      <c r="AT174" s="66"/>
      <c r="AU174" s="4"/>
      <c r="AV174" s="4"/>
      <c r="AW174" s="4"/>
      <c r="AX174" s="4"/>
      <c r="AY174" s="4"/>
      <c r="AZ174" s="4"/>
      <c r="BA174" s="4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9">
        <f t="shared" si="68"/>
        <v>184018.69265789323</v>
      </c>
      <c r="BN174" s="9">
        <f t="shared" si="97"/>
        <v>141779.15923298837</v>
      </c>
      <c r="BO174" s="9">
        <f t="shared" si="85"/>
        <v>41901.627405144296</v>
      </c>
      <c r="BP174" s="9">
        <f t="shared" si="86"/>
        <v>337.90601976057178</v>
      </c>
      <c r="BQ174" s="10">
        <f t="shared" si="87"/>
        <v>0</v>
      </c>
      <c r="BR174" s="9">
        <f t="shared" si="88"/>
        <v>184018.69265789323</v>
      </c>
      <c r="BS174" s="142">
        <f t="shared" si="98"/>
        <v>123082.90784269836</v>
      </c>
      <c r="BT174" s="83">
        <f t="shared" si="89"/>
        <v>123083</v>
      </c>
      <c r="BU174" s="175">
        <f t="shared" si="90"/>
        <v>1.2018105285675818E-4</v>
      </c>
      <c r="BV174" s="173">
        <f t="shared" si="91"/>
        <v>29321.39</v>
      </c>
      <c r="BW174" s="176">
        <f t="shared" si="92"/>
        <v>1.7095328644983746E-4</v>
      </c>
      <c r="BX174" s="177">
        <f t="shared" si="93"/>
        <v>0</v>
      </c>
      <c r="BY174" s="178">
        <f t="shared" si="94"/>
        <v>0</v>
      </c>
      <c r="BZ174" s="4"/>
      <c r="CA174" s="4"/>
      <c r="CB174" s="4"/>
      <c r="CC174" s="4"/>
      <c r="CD174" s="4"/>
      <c r="CE174" s="4"/>
      <c r="CF174" s="4"/>
      <c r="CG174" s="126">
        <f t="shared" si="95"/>
        <v>102552.868464</v>
      </c>
      <c r="CH174" s="126">
        <f t="shared" si="96"/>
        <v>42237.531536000002</v>
      </c>
      <c r="CI174" s="126"/>
      <c r="CJ174" s="126"/>
      <c r="CK174" s="9"/>
      <c r="CL174" s="9"/>
      <c r="CM174" s="127"/>
      <c r="CN174" s="9"/>
      <c r="CO174" s="9"/>
      <c r="CP174" s="9"/>
      <c r="CQ174" s="126"/>
      <c r="CR174" s="126"/>
      <c r="CS174" s="126"/>
      <c r="CT174" s="126"/>
      <c r="CU174" s="126"/>
      <c r="CV174" s="9"/>
      <c r="CW174" s="9"/>
      <c r="CX174" s="127"/>
      <c r="CY174" s="67"/>
      <c r="CZ174" s="67"/>
    </row>
    <row r="175" spans="1:104" x14ac:dyDescent="0.35">
      <c r="A175" s="143">
        <v>258</v>
      </c>
      <c r="B175" s="116" t="s">
        <v>623</v>
      </c>
      <c r="C175" s="144">
        <v>7673125.7098405296</v>
      </c>
      <c r="D175" s="144">
        <v>676880.37</v>
      </c>
      <c r="E175" s="144">
        <v>309499.94</v>
      </c>
      <c r="F175" s="145">
        <f t="shared" si="69"/>
        <v>986380.31</v>
      </c>
      <c r="G175" s="144"/>
      <c r="H175" s="144"/>
      <c r="I175" s="145"/>
      <c r="J175" s="144">
        <v>157965.19</v>
      </c>
      <c r="K175" s="144">
        <v>68691.490000000005</v>
      </c>
      <c r="L175" s="145">
        <f t="shared" si="70"/>
        <v>226656.68</v>
      </c>
      <c r="M175" s="146">
        <v>0</v>
      </c>
      <c r="N175" s="146">
        <v>18993.849999999999</v>
      </c>
      <c r="O175" s="145">
        <f t="shared" si="71"/>
        <v>18993.849999999999</v>
      </c>
      <c r="P175" s="144">
        <v>0</v>
      </c>
      <c r="Q175" s="144">
        <v>117936.84</v>
      </c>
      <c r="R175" s="147">
        <f t="shared" si="72"/>
        <v>117936.84</v>
      </c>
      <c r="S175" s="117">
        <v>0</v>
      </c>
      <c r="T175" s="117">
        <v>0</v>
      </c>
      <c r="U175" s="146">
        <v>0</v>
      </c>
      <c r="V175" s="146">
        <v>0</v>
      </c>
      <c r="W175" s="4"/>
      <c r="X175" s="4"/>
      <c r="Y175" s="4"/>
      <c r="Z175" s="4"/>
      <c r="AA175" s="4"/>
      <c r="AB175" s="4"/>
      <c r="AC175" s="4"/>
      <c r="AD175" s="4"/>
      <c r="AE175" s="4"/>
      <c r="AF175" s="118">
        <f t="shared" si="73"/>
        <v>226656.68</v>
      </c>
      <c r="AG175" s="112">
        <f t="shared" si="73"/>
        <v>0</v>
      </c>
      <c r="AH175" s="112">
        <f t="shared" si="73"/>
        <v>18993.849999999999</v>
      </c>
      <c r="AI175" s="10">
        <f t="shared" si="74"/>
        <v>11917.596213249999</v>
      </c>
      <c r="AJ175" s="10">
        <f t="shared" si="75"/>
        <v>3243.2758628999995</v>
      </c>
      <c r="AK175" s="10">
        <f t="shared" si="76"/>
        <v>35.385542549999997</v>
      </c>
      <c r="AL175" s="10">
        <f t="shared" si="77"/>
        <v>3797.5923812999999</v>
      </c>
      <c r="AM175" s="10">
        <f t="shared" si="78"/>
        <v>0</v>
      </c>
      <c r="AN175" s="9">
        <f t="shared" si="79"/>
        <v>0</v>
      </c>
      <c r="AO175" s="10">
        <f t="shared" si="80"/>
        <v>0</v>
      </c>
      <c r="AP175" s="66">
        <f t="shared" si="81"/>
        <v>710796.80845957925</v>
      </c>
      <c r="AQ175" s="66">
        <f t="shared" si="82"/>
        <v>243277.08160886506</v>
      </c>
      <c r="AR175" s="66">
        <f t="shared" si="83"/>
        <v>2266.5566609521584</v>
      </c>
      <c r="AS175" s="66">
        <f t="shared" si="84"/>
        <v>56663.916523803964</v>
      </c>
      <c r="AT175" s="66"/>
      <c r="AU175" s="4"/>
      <c r="AV175" s="4"/>
      <c r="AW175" s="4"/>
      <c r="AX175" s="4"/>
      <c r="AY175" s="4"/>
      <c r="AZ175" s="4"/>
      <c r="BA175" s="4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9">
        <f t="shared" si="68"/>
        <v>1258654.8932532005</v>
      </c>
      <c r="BN175" s="9">
        <f t="shared" si="97"/>
        <v>969789.07866299432</v>
      </c>
      <c r="BO175" s="9">
        <f t="shared" si="85"/>
        <v>286563.87238670397</v>
      </c>
      <c r="BP175" s="9">
        <f t="shared" si="86"/>
        <v>2301.9422035021585</v>
      </c>
      <c r="BQ175" s="10">
        <f t="shared" si="87"/>
        <v>0</v>
      </c>
      <c r="BR175" s="9">
        <f t="shared" si="88"/>
        <v>1258654.8932532005</v>
      </c>
      <c r="BS175" s="142">
        <f t="shared" si="98"/>
        <v>954073.89006844431</v>
      </c>
      <c r="BT175" s="83">
        <f t="shared" si="89"/>
        <v>954074</v>
      </c>
      <c r="BU175" s="175">
        <f t="shared" si="90"/>
        <v>9.3158023824158997E-4</v>
      </c>
      <c r="BV175" s="173">
        <f t="shared" si="91"/>
        <v>226656.68</v>
      </c>
      <c r="BW175" s="176">
        <f t="shared" si="92"/>
        <v>1.3214825198194608E-3</v>
      </c>
      <c r="BX175" s="177">
        <f t="shared" si="93"/>
        <v>0</v>
      </c>
      <c r="BY175" s="178">
        <f t="shared" si="94"/>
        <v>0</v>
      </c>
      <c r="BZ175" s="4"/>
      <c r="CA175" s="4"/>
      <c r="CB175" s="4"/>
      <c r="CC175" s="4"/>
      <c r="CD175" s="4"/>
      <c r="CE175" s="4"/>
      <c r="CF175" s="4"/>
      <c r="CG175" s="126">
        <f t="shared" si="95"/>
        <v>698638.37786835001</v>
      </c>
      <c r="CH175" s="126">
        <f t="shared" si="96"/>
        <v>287741.93213165004</v>
      </c>
      <c r="CI175" s="126"/>
      <c r="CJ175" s="126"/>
      <c r="CK175" s="9"/>
      <c r="CL175" s="9"/>
      <c r="CM175" s="127"/>
      <c r="CN175" s="9"/>
      <c r="CO175" s="9"/>
      <c r="CP175" s="9"/>
      <c r="CQ175" s="126"/>
      <c r="CR175" s="126"/>
      <c r="CS175" s="126"/>
      <c r="CT175" s="126"/>
      <c r="CU175" s="126"/>
      <c r="CV175" s="9"/>
      <c r="CW175" s="9"/>
      <c r="CX175" s="127"/>
      <c r="CY175" s="67"/>
      <c r="CZ175" s="67"/>
    </row>
    <row r="176" spans="1:104" x14ac:dyDescent="0.35">
      <c r="A176" s="143">
        <v>259</v>
      </c>
      <c r="B176" s="116" t="s">
        <v>624</v>
      </c>
      <c r="C176" s="144">
        <v>736548.81369117077</v>
      </c>
      <c r="D176" s="144">
        <v>42118.84</v>
      </c>
      <c r="E176" s="144">
        <v>52564.51</v>
      </c>
      <c r="F176" s="145">
        <f t="shared" si="69"/>
        <v>94683.35</v>
      </c>
      <c r="G176" s="144"/>
      <c r="H176" s="144"/>
      <c r="I176" s="145"/>
      <c r="J176" s="144">
        <v>8354.25</v>
      </c>
      <c r="K176" s="144">
        <v>11439.51</v>
      </c>
      <c r="L176" s="145">
        <f t="shared" si="70"/>
        <v>19793.760000000002</v>
      </c>
      <c r="M176" s="146">
        <v>7920.24</v>
      </c>
      <c r="N176" s="146">
        <v>4444.2299999999996</v>
      </c>
      <c r="O176" s="145">
        <f t="shared" si="71"/>
        <v>12364.47</v>
      </c>
      <c r="P176" s="144">
        <v>49179.09</v>
      </c>
      <c r="Q176" s="144">
        <v>27595.43</v>
      </c>
      <c r="R176" s="147">
        <f t="shared" si="72"/>
        <v>76774.51999999999</v>
      </c>
      <c r="S176" s="117">
        <v>0</v>
      </c>
      <c r="T176" s="117">
        <v>0</v>
      </c>
      <c r="U176" s="146">
        <v>0</v>
      </c>
      <c r="V176" s="146">
        <v>0</v>
      </c>
      <c r="W176" s="4"/>
      <c r="X176" s="4"/>
      <c r="Y176" s="4"/>
      <c r="Z176" s="4"/>
      <c r="AA176" s="4"/>
      <c r="AB176" s="4"/>
      <c r="AC176" s="4"/>
      <c r="AD176" s="4"/>
      <c r="AE176" s="4"/>
      <c r="AF176" s="118">
        <f t="shared" si="73"/>
        <v>19793.760000000002</v>
      </c>
      <c r="AG176" s="112">
        <f t="shared" si="73"/>
        <v>7920.24</v>
      </c>
      <c r="AH176" s="112">
        <f t="shared" si="73"/>
        <v>4444.2299999999996</v>
      </c>
      <c r="AI176" s="10">
        <f t="shared" si="74"/>
        <v>7266.2334168299994</v>
      </c>
      <c r="AJ176" s="10">
        <f t="shared" si="75"/>
        <v>2603.0741727</v>
      </c>
      <c r="AK176" s="10">
        <f t="shared" si="76"/>
        <v>23.035007610000001</v>
      </c>
      <c r="AL176" s="10">
        <f t="shared" si="77"/>
        <v>2472.1274028600001</v>
      </c>
      <c r="AM176" s="10">
        <f t="shared" si="78"/>
        <v>0</v>
      </c>
      <c r="AN176" s="9">
        <f t="shared" si="79"/>
        <v>0</v>
      </c>
      <c r="AO176" s="10">
        <f t="shared" si="80"/>
        <v>0</v>
      </c>
      <c r="AP176" s="66">
        <f t="shared" si="81"/>
        <v>63885.527423739411</v>
      </c>
      <c r="AQ176" s="66">
        <f t="shared" si="82"/>
        <v>21244.732256855699</v>
      </c>
      <c r="AR176" s="66">
        <f t="shared" si="83"/>
        <v>197.93228810735121</v>
      </c>
      <c r="AS176" s="66">
        <f t="shared" si="84"/>
        <v>4948.3072026837808</v>
      </c>
      <c r="AT176" s="66"/>
      <c r="AU176" s="4"/>
      <c r="AV176" s="4"/>
      <c r="AW176" s="4"/>
      <c r="AX176" s="4"/>
      <c r="AY176" s="4"/>
      <c r="AZ176" s="4"/>
      <c r="BA176" s="4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9">
        <f t="shared" si="68"/>
        <v>122434.72917138622</v>
      </c>
      <c r="BN176" s="9">
        <f t="shared" si="97"/>
        <v>94868.620500285106</v>
      </c>
      <c r="BO176" s="9">
        <f t="shared" si="85"/>
        <v>27345.141375383781</v>
      </c>
      <c r="BP176" s="9">
        <f t="shared" si="86"/>
        <v>220.96729571735122</v>
      </c>
      <c r="BQ176" s="10">
        <f t="shared" si="87"/>
        <v>0</v>
      </c>
      <c r="BR176" s="9">
        <f t="shared" si="88"/>
        <v>122434.72917138624</v>
      </c>
      <c r="BS176" s="142">
        <f t="shared" si="98"/>
        <v>85130.259680595103</v>
      </c>
      <c r="BT176" s="83">
        <f t="shared" si="89"/>
        <v>85130</v>
      </c>
      <c r="BU176" s="175">
        <f t="shared" si="90"/>
        <v>8.3123192470058998E-5</v>
      </c>
      <c r="BV176" s="173">
        <f t="shared" si="91"/>
        <v>19793.760000000002</v>
      </c>
      <c r="BW176" s="176">
        <f t="shared" si="92"/>
        <v>1.1540408975152047E-4</v>
      </c>
      <c r="BX176" s="177">
        <f t="shared" si="93"/>
        <v>0</v>
      </c>
      <c r="BY176" s="178">
        <f t="shared" si="94"/>
        <v>0</v>
      </c>
      <c r="BZ176" s="4"/>
      <c r="CA176" s="4"/>
      <c r="CB176" s="4"/>
      <c r="CC176" s="4"/>
      <c r="CD176" s="4"/>
      <c r="CE176" s="4"/>
      <c r="CF176" s="4"/>
      <c r="CG176" s="126">
        <f t="shared" si="95"/>
        <v>67062.796554750006</v>
      </c>
      <c r="CH176" s="126">
        <f t="shared" si="96"/>
        <v>27620.55344525</v>
      </c>
      <c r="CI176" s="126"/>
      <c r="CJ176" s="126"/>
      <c r="CK176" s="9"/>
      <c r="CL176" s="9"/>
      <c r="CM176" s="127"/>
      <c r="CN176" s="9"/>
      <c r="CO176" s="9"/>
      <c r="CP176" s="9"/>
      <c r="CQ176" s="126"/>
      <c r="CR176" s="126"/>
      <c r="CS176" s="126"/>
      <c r="CT176" s="126"/>
      <c r="CU176" s="126"/>
      <c r="CV176" s="9"/>
      <c r="CW176" s="9"/>
      <c r="CX176" s="127"/>
      <c r="CY176" s="67"/>
      <c r="CZ176" s="67"/>
    </row>
    <row r="177" spans="1:104" x14ac:dyDescent="0.35">
      <c r="A177" s="143">
        <v>260</v>
      </c>
      <c r="B177" s="116" t="s">
        <v>625</v>
      </c>
      <c r="C177" s="144">
        <v>3582716.6083236095</v>
      </c>
      <c r="D177" s="144">
        <v>334775.75</v>
      </c>
      <c r="E177" s="144">
        <v>125782.47</v>
      </c>
      <c r="F177" s="145">
        <f t="shared" si="69"/>
        <v>460558.22</v>
      </c>
      <c r="G177" s="144"/>
      <c r="H177" s="144"/>
      <c r="I177" s="145"/>
      <c r="J177" s="144">
        <v>68295.05</v>
      </c>
      <c r="K177" s="144">
        <v>27899.07</v>
      </c>
      <c r="L177" s="145">
        <f t="shared" si="70"/>
        <v>96194.12</v>
      </c>
      <c r="M177" s="146">
        <v>52786.77</v>
      </c>
      <c r="N177" s="146">
        <v>7813.2</v>
      </c>
      <c r="O177" s="145">
        <f t="shared" si="71"/>
        <v>60599.969999999994</v>
      </c>
      <c r="P177" s="144">
        <v>327767.53000000003</v>
      </c>
      <c r="Q177" s="144">
        <v>48514.080000000002</v>
      </c>
      <c r="R177" s="147">
        <f t="shared" si="72"/>
        <v>376281.61000000004</v>
      </c>
      <c r="S177" s="117">
        <v>0</v>
      </c>
      <c r="T177" s="117">
        <v>0</v>
      </c>
      <c r="U177" s="146">
        <v>0</v>
      </c>
      <c r="V177" s="146">
        <v>0</v>
      </c>
      <c r="W177" s="4"/>
      <c r="X177" s="4"/>
      <c r="Y177" s="4"/>
      <c r="Z177" s="4"/>
      <c r="AA177" s="4"/>
      <c r="AB177" s="4"/>
      <c r="AC177" s="4"/>
      <c r="AD177" s="4"/>
      <c r="AE177" s="4"/>
      <c r="AF177" s="118">
        <f t="shared" si="73"/>
        <v>96194.12</v>
      </c>
      <c r="AG177" s="112">
        <f t="shared" si="73"/>
        <v>52786.77</v>
      </c>
      <c r="AH177" s="112">
        <f t="shared" si="73"/>
        <v>7813.2</v>
      </c>
      <c r="AI177" s="10">
        <f t="shared" si="74"/>
        <v>34745.459267039994</v>
      </c>
      <c r="AJ177" s="10">
        <f t="shared" si="75"/>
        <v>13625.376186989999</v>
      </c>
      <c r="AK177" s="10">
        <f t="shared" si="76"/>
        <v>112.89774410999999</v>
      </c>
      <c r="AL177" s="10">
        <f t="shared" si="77"/>
        <v>12116.236801859999</v>
      </c>
      <c r="AM177" s="10">
        <f t="shared" si="78"/>
        <v>0</v>
      </c>
      <c r="AN177" s="9">
        <f t="shared" si="79"/>
        <v>0</v>
      </c>
      <c r="AO177" s="10">
        <f t="shared" si="80"/>
        <v>0</v>
      </c>
      <c r="AP177" s="66">
        <f t="shared" si="81"/>
        <v>301245.47758266225</v>
      </c>
      <c r="AQ177" s="66">
        <f t="shared" si="82"/>
        <v>103247.20694602025</v>
      </c>
      <c r="AR177" s="66">
        <f t="shared" si="83"/>
        <v>961.93049949708279</v>
      </c>
      <c r="AS177" s="66">
        <f t="shared" si="84"/>
        <v>24048.262487427073</v>
      </c>
      <c r="AT177" s="66"/>
      <c r="AU177" s="4"/>
      <c r="AV177" s="4"/>
      <c r="AW177" s="4"/>
      <c r="AX177" s="4"/>
      <c r="AY177" s="4"/>
      <c r="AZ177" s="4"/>
      <c r="BA177" s="4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9">
        <f t="shared" si="68"/>
        <v>586296.96751560667</v>
      </c>
      <c r="BN177" s="9">
        <f t="shared" si="97"/>
        <v>451354.38059758249</v>
      </c>
      <c r="BO177" s="9">
        <f t="shared" si="85"/>
        <v>133867.75867441707</v>
      </c>
      <c r="BP177" s="9">
        <f t="shared" si="86"/>
        <v>1074.8282436070829</v>
      </c>
      <c r="BQ177" s="10">
        <f t="shared" si="87"/>
        <v>0</v>
      </c>
      <c r="BR177" s="9">
        <f t="shared" si="88"/>
        <v>586296.96751560667</v>
      </c>
      <c r="BS177" s="142">
        <f t="shared" si="98"/>
        <v>404492.6845286825</v>
      </c>
      <c r="BT177" s="83">
        <f t="shared" si="89"/>
        <v>404493</v>
      </c>
      <c r="BU177" s="175">
        <f t="shared" si="90"/>
        <v>3.9495619295605903E-4</v>
      </c>
      <c r="BV177" s="173">
        <f t="shared" si="91"/>
        <v>96194.12</v>
      </c>
      <c r="BW177" s="176">
        <f t="shared" si="92"/>
        <v>5.6084315754300999E-4</v>
      </c>
      <c r="BX177" s="177">
        <f t="shared" si="93"/>
        <v>0</v>
      </c>
      <c r="BY177" s="178">
        <f t="shared" si="94"/>
        <v>0</v>
      </c>
      <c r="BZ177" s="4"/>
      <c r="CA177" s="4"/>
      <c r="CB177" s="4"/>
      <c r="CC177" s="4"/>
      <c r="CD177" s="4"/>
      <c r="CE177" s="4"/>
      <c r="CF177" s="4"/>
      <c r="CG177" s="126">
        <f t="shared" si="95"/>
        <v>326206.47885270003</v>
      </c>
      <c r="CH177" s="126">
        <f t="shared" si="96"/>
        <v>134351.7411473</v>
      </c>
      <c r="CI177" s="126"/>
      <c r="CJ177" s="126"/>
      <c r="CK177" s="9"/>
      <c r="CL177" s="9"/>
      <c r="CM177" s="127"/>
      <c r="CN177" s="9"/>
      <c r="CO177" s="9"/>
      <c r="CP177" s="9"/>
      <c r="CQ177" s="126"/>
      <c r="CR177" s="126"/>
      <c r="CS177" s="126"/>
      <c r="CT177" s="126"/>
      <c r="CU177" s="126"/>
      <c r="CV177" s="9"/>
      <c r="CW177" s="9"/>
      <c r="CX177" s="127"/>
      <c r="CY177" s="67"/>
      <c r="CZ177" s="67"/>
    </row>
    <row r="178" spans="1:104" x14ac:dyDescent="0.35">
      <c r="A178" s="143">
        <v>261</v>
      </c>
      <c r="B178" s="116" t="s">
        <v>626</v>
      </c>
      <c r="C178" s="144">
        <v>3497477.8685336448</v>
      </c>
      <c r="D178" s="144">
        <v>300900.98</v>
      </c>
      <c r="E178" s="144">
        <v>148699.79999999999</v>
      </c>
      <c r="F178" s="145">
        <f t="shared" si="69"/>
        <v>449600.77999999997</v>
      </c>
      <c r="G178" s="144"/>
      <c r="H178" s="144"/>
      <c r="I178" s="145"/>
      <c r="J178" s="144">
        <v>64098.01</v>
      </c>
      <c r="K178" s="144">
        <v>29148.19</v>
      </c>
      <c r="L178" s="145">
        <f t="shared" si="70"/>
        <v>93246.2</v>
      </c>
      <c r="M178" s="146">
        <v>32874.44</v>
      </c>
      <c r="N178" s="146">
        <v>29817.200000000001</v>
      </c>
      <c r="O178" s="145">
        <f t="shared" si="71"/>
        <v>62691.64</v>
      </c>
      <c r="P178" s="144">
        <v>204125</v>
      </c>
      <c r="Q178" s="144">
        <v>185142.7</v>
      </c>
      <c r="R178" s="147">
        <f t="shared" si="72"/>
        <v>389267.7</v>
      </c>
      <c r="S178" s="117">
        <v>0</v>
      </c>
      <c r="T178" s="117">
        <v>0</v>
      </c>
      <c r="U178" s="146">
        <v>0</v>
      </c>
      <c r="V178" s="146">
        <v>0</v>
      </c>
      <c r="W178" s="4"/>
      <c r="X178" s="4"/>
      <c r="Y178" s="4"/>
      <c r="Z178" s="4"/>
      <c r="AA178" s="4"/>
      <c r="AB178" s="4"/>
      <c r="AC178" s="4"/>
      <c r="AD178" s="4"/>
      <c r="AE178" s="4"/>
      <c r="AF178" s="118">
        <f t="shared" si="73"/>
        <v>93246.2</v>
      </c>
      <c r="AG178" s="112">
        <f t="shared" si="73"/>
        <v>32874.44</v>
      </c>
      <c r="AH178" s="112">
        <f t="shared" si="73"/>
        <v>29817.200000000001</v>
      </c>
      <c r="AI178" s="10">
        <f t="shared" si="74"/>
        <v>37294.283456880003</v>
      </c>
      <c r="AJ178" s="10">
        <f t="shared" si="75"/>
        <v>12746.12089948</v>
      </c>
      <c r="AK178" s="10">
        <f t="shared" si="76"/>
        <v>116.79452532000002</v>
      </c>
      <c r="AL178" s="10">
        <f t="shared" si="77"/>
        <v>12534.441118320001</v>
      </c>
      <c r="AM178" s="10">
        <f t="shared" si="78"/>
        <v>0</v>
      </c>
      <c r="AN178" s="9">
        <f t="shared" si="79"/>
        <v>0</v>
      </c>
      <c r="AO178" s="10">
        <f t="shared" si="80"/>
        <v>0</v>
      </c>
      <c r="AP178" s="66">
        <f t="shared" si="81"/>
        <v>292718.57675630687</v>
      </c>
      <c r="AQ178" s="66">
        <f t="shared" si="82"/>
        <v>100084.36742678334</v>
      </c>
      <c r="AR178" s="66">
        <f t="shared" si="83"/>
        <v>932.46305056009317</v>
      </c>
      <c r="AS178" s="66">
        <f t="shared" si="84"/>
        <v>23311.576264002331</v>
      </c>
      <c r="AT178" s="66"/>
      <c r="AU178" s="4"/>
      <c r="AV178" s="4"/>
      <c r="AW178" s="4"/>
      <c r="AX178" s="4"/>
      <c r="AY178" s="4"/>
      <c r="AZ178" s="4"/>
      <c r="BA178" s="4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9">
        <f t="shared" si="68"/>
        <v>572984.82349765266</v>
      </c>
      <c r="BN178" s="9">
        <f t="shared" si="97"/>
        <v>442631.66875829024</v>
      </c>
      <c r="BO178" s="9">
        <f t="shared" si="85"/>
        <v>129303.89716348232</v>
      </c>
      <c r="BP178" s="9">
        <f t="shared" si="86"/>
        <v>1049.2575758800931</v>
      </c>
      <c r="BQ178" s="10">
        <f t="shared" si="87"/>
        <v>0</v>
      </c>
      <c r="BR178" s="9">
        <f t="shared" si="88"/>
        <v>572984.82349765254</v>
      </c>
      <c r="BS178" s="142">
        <f t="shared" si="98"/>
        <v>392802.94418309024</v>
      </c>
      <c r="BT178" s="83">
        <f t="shared" si="89"/>
        <v>392803</v>
      </c>
      <c r="BU178" s="175">
        <f t="shared" si="90"/>
        <v>3.835420549008315E-4</v>
      </c>
      <c r="BV178" s="173">
        <f t="shared" si="91"/>
        <v>93246.2</v>
      </c>
      <c r="BW178" s="176">
        <f t="shared" si="92"/>
        <v>5.4365582051051585E-4</v>
      </c>
      <c r="BX178" s="177">
        <f t="shared" si="93"/>
        <v>0</v>
      </c>
      <c r="BY178" s="178">
        <f t="shared" si="94"/>
        <v>0</v>
      </c>
      <c r="BZ178" s="4"/>
      <c r="CA178" s="4"/>
      <c r="CB178" s="4"/>
      <c r="CC178" s="4"/>
      <c r="CD178" s="4"/>
      <c r="CE178" s="4"/>
      <c r="CF178" s="4"/>
      <c r="CG178" s="126">
        <f t="shared" si="95"/>
        <v>318445.48846229998</v>
      </c>
      <c r="CH178" s="126">
        <f t="shared" si="96"/>
        <v>131155.29153769999</v>
      </c>
      <c r="CI178" s="126"/>
      <c r="CJ178" s="126"/>
      <c r="CK178" s="9"/>
      <c r="CL178" s="9"/>
      <c r="CM178" s="127"/>
      <c r="CN178" s="9"/>
      <c r="CO178" s="9"/>
      <c r="CP178" s="9"/>
      <c r="CQ178" s="126"/>
      <c r="CR178" s="126"/>
      <c r="CS178" s="126"/>
      <c r="CT178" s="126"/>
      <c r="CU178" s="126"/>
      <c r="CV178" s="9"/>
      <c r="CW178" s="9"/>
      <c r="CX178" s="127"/>
      <c r="CY178" s="67"/>
      <c r="CZ178" s="67"/>
    </row>
    <row r="179" spans="1:104" x14ac:dyDescent="0.35">
      <c r="A179" s="148">
        <v>263</v>
      </c>
      <c r="B179" s="119" t="s">
        <v>627</v>
      </c>
      <c r="C179" s="149">
        <v>54543844.715943798</v>
      </c>
      <c r="D179" s="149">
        <v>3178394.01</v>
      </c>
      <c r="E179" s="149">
        <v>1286019.68</v>
      </c>
      <c r="F179" s="150">
        <f t="shared" si="69"/>
        <v>4464413.6899999995</v>
      </c>
      <c r="G179" s="149">
        <v>6160691.6600000001</v>
      </c>
      <c r="H179" s="149">
        <v>2492694.96</v>
      </c>
      <c r="I179" s="150">
        <f>G179+H179</f>
        <v>8653386.620000001</v>
      </c>
      <c r="J179" s="149">
        <v>-151.4</v>
      </c>
      <c r="K179" s="149">
        <v>29.75</v>
      </c>
      <c r="L179" s="150">
        <f t="shared" si="70"/>
        <v>-121.65</v>
      </c>
      <c r="M179" s="151">
        <v>0</v>
      </c>
      <c r="N179" s="151">
        <v>0</v>
      </c>
      <c r="O179" s="150">
        <f t="shared" si="71"/>
        <v>0</v>
      </c>
      <c r="P179" s="149">
        <v>0</v>
      </c>
      <c r="Q179" s="149">
        <v>0</v>
      </c>
      <c r="R179" s="152">
        <f t="shared" si="72"/>
        <v>0</v>
      </c>
      <c r="S179" s="120">
        <v>0</v>
      </c>
      <c r="T179" s="120">
        <v>1737589.26</v>
      </c>
      <c r="U179" s="151">
        <v>247181.8</v>
      </c>
      <c r="V179" s="151">
        <v>0</v>
      </c>
      <c r="W179" s="112">
        <f>G179</f>
        <v>6160691.6600000001</v>
      </c>
      <c r="X179" s="112">
        <f>H179</f>
        <v>2492694.96</v>
      </c>
      <c r="Y179" s="121">
        <f>(W179*0.341002)+(X179*0.404034)</f>
        <v>3107941.6929119602</v>
      </c>
      <c r="Z179" s="121">
        <f>(W179*0.139616)+(X179*0.139616)</f>
        <v>1208151.2263379199</v>
      </c>
      <c r="AA179" s="121">
        <f>(W179*0.139616)+(X179*0.139616)-20.21</f>
        <v>1208131.01633792</v>
      </c>
      <c r="AB179" s="10">
        <f>(W179*0.174913)+(X179*0.111882)-0.29</f>
        <v>1356472.4678403002</v>
      </c>
      <c r="AC179" s="4"/>
      <c r="AD179" s="10">
        <f>(W179*0.001892)+(X179*0.001891)</f>
        <v>16369.714790080001</v>
      </c>
      <c r="AE179" s="10">
        <f>(W179*0.202962)+(X179*0.202962)</f>
        <v>1756308.6551684402</v>
      </c>
      <c r="AF179" s="4"/>
      <c r="AG179" s="112"/>
      <c r="AH179" s="112"/>
      <c r="AI179" s="10"/>
      <c r="AJ179" s="10"/>
      <c r="AK179" s="10"/>
      <c r="AL179" s="10"/>
      <c r="AM179" s="10">
        <f t="shared" si="78"/>
        <v>0</v>
      </c>
      <c r="AN179" s="9">
        <f t="shared" si="79"/>
        <v>247181.8</v>
      </c>
      <c r="AO179" s="10">
        <f t="shared" si="80"/>
        <v>1737589.26</v>
      </c>
      <c r="AP179" s="4"/>
      <c r="AQ179" s="4"/>
      <c r="AR179" s="4"/>
      <c r="AS179" s="4"/>
      <c r="AT179" s="9"/>
      <c r="AU179" s="4"/>
      <c r="AV179" s="4"/>
      <c r="AW179" s="4"/>
      <c r="AX179" s="4"/>
      <c r="AY179" s="4"/>
      <c r="AZ179" s="4"/>
      <c r="BA179" s="140">
        <v>369746.82</v>
      </c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9">
        <f t="shared" si="68"/>
        <v>11007892.653386619</v>
      </c>
      <c r="BN179" s="9">
        <f t="shared" si="97"/>
        <v>9635050.4707562402</v>
      </c>
      <c r="BO179" s="9">
        <f>AB179+AC179+AF179+AJ179+AS179+AX179+BD179+BL179</f>
        <v>1356472.4678403002</v>
      </c>
      <c r="BP179" s="9">
        <f t="shared" si="86"/>
        <v>16369.714790080001</v>
      </c>
      <c r="BQ179" s="10">
        <f t="shared" si="87"/>
        <v>0</v>
      </c>
      <c r="BR179" s="9">
        <f t="shared" si="88"/>
        <v>11007892.653386621</v>
      </c>
      <c r="BS179" s="142">
        <f t="shared" si="98"/>
        <v>9018121.850756241</v>
      </c>
      <c r="BT179" s="83">
        <f t="shared" si="89"/>
        <v>9018122</v>
      </c>
      <c r="BU179" s="175">
        <f t="shared" si="90"/>
        <v>8.8055067743406119E-3</v>
      </c>
      <c r="BV179" s="173">
        <f t="shared" si="91"/>
        <v>1356472.4678403002</v>
      </c>
      <c r="BW179" s="176">
        <f t="shared" si="92"/>
        <v>7.9086778067486152E-3</v>
      </c>
      <c r="BX179" s="177">
        <f t="shared" si="93"/>
        <v>16369.714790080001</v>
      </c>
      <c r="BY179" s="178">
        <f t="shared" si="94"/>
        <v>1.6935683848195212E-2</v>
      </c>
      <c r="BZ179" s="4"/>
      <c r="CA179" s="4"/>
      <c r="CB179" s="4"/>
      <c r="CC179" s="4"/>
      <c r="CD179" s="4"/>
      <c r="CE179" s="4"/>
      <c r="CF179" s="4"/>
      <c r="CG179" s="126">
        <f t="shared" si="95"/>
        <v>3162077.2504216498</v>
      </c>
      <c r="CH179" s="126">
        <f t="shared" si="96"/>
        <v>1302336.4395783499</v>
      </c>
      <c r="CI179" s="126"/>
      <c r="CJ179" s="126"/>
      <c r="CK179" s="9"/>
      <c r="CL179" s="9"/>
      <c r="CM179" s="179"/>
      <c r="CN179" s="9"/>
      <c r="CO179" s="9"/>
      <c r="CP179" s="9"/>
      <c r="CQ179" s="126"/>
      <c r="CR179" s="126"/>
      <c r="CS179" s="126"/>
      <c r="CT179" s="126"/>
      <c r="CU179" s="126"/>
      <c r="CV179" s="9"/>
      <c r="CW179" s="9"/>
      <c r="CX179" s="127"/>
      <c r="CY179" s="69"/>
      <c r="CZ179" s="69"/>
    </row>
    <row r="180" spans="1:104" x14ac:dyDescent="0.35">
      <c r="A180" s="148">
        <v>266</v>
      </c>
      <c r="B180" s="119" t="s">
        <v>628</v>
      </c>
      <c r="C180" s="149">
        <v>11865582.651191201</v>
      </c>
      <c r="D180" s="149">
        <v>556706.66</v>
      </c>
      <c r="E180" s="149">
        <v>414491.28</v>
      </c>
      <c r="F180" s="150">
        <f t="shared" si="69"/>
        <v>971197.94000000006</v>
      </c>
      <c r="G180" s="149">
        <v>1079065.73</v>
      </c>
      <c r="H180" s="149">
        <v>803409.31</v>
      </c>
      <c r="I180" s="150">
        <f t="shared" ref="I180:I204" si="99">G180+H180</f>
        <v>1882475.04</v>
      </c>
      <c r="J180" s="149">
        <v>0</v>
      </c>
      <c r="K180" s="149">
        <v>0</v>
      </c>
      <c r="L180" s="150">
        <f t="shared" si="70"/>
        <v>0</v>
      </c>
      <c r="M180" s="151">
        <v>0</v>
      </c>
      <c r="N180" s="151">
        <v>0</v>
      </c>
      <c r="O180" s="150">
        <f t="shared" si="71"/>
        <v>0</v>
      </c>
      <c r="P180" s="149">
        <v>0</v>
      </c>
      <c r="Q180" s="149">
        <v>0</v>
      </c>
      <c r="R180" s="152">
        <f t="shared" si="72"/>
        <v>0</v>
      </c>
      <c r="S180" s="120">
        <v>0</v>
      </c>
      <c r="T180" s="120">
        <v>290340.08</v>
      </c>
      <c r="U180" s="151">
        <v>227</v>
      </c>
      <c r="V180" s="151">
        <v>0</v>
      </c>
      <c r="W180" s="112">
        <f t="shared" ref="W180:X204" si="100">G180</f>
        <v>1079065.73</v>
      </c>
      <c r="X180" s="112">
        <f t="shared" si="100"/>
        <v>803409.31</v>
      </c>
      <c r="Y180" s="121">
        <f t="shared" ref="Y180:Y183" si="101">(W180*0.341002)+(X180*0.404034)</f>
        <v>692568.2492180001</v>
      </c>
      <c r="Z180" s="121">
        <f t="shared" ref="Z180:Z183" si="102">(W180*0.139616)+(X180*0.139616)</f>
        <v>262823.63518463995</v>
      </c>
      <c r="AA180" s="121">
        <f t="shared" ref="AA180:AA183" si="103">(W180*0.139616)+(X180*0.139616)</f>
        <v>262823.63518463995</v>
      </c>
      <c r="AB180" s="10">
        <f t="shared" ref="AB180:AB197" si="104">(W180*0.174913)+(X180*0.111882)</f>
        <v>278629.66445291002</v>
      </c>
      <c r="AC180" s="4"/>
      <c r="AD180" s="10">
        <f t="shared" ref="AD180:AD183" si="105">(W180*0.001892)+(X180*0.001891)</f>
        <v>3560.8393663699999</v>
      </c>
      <c r="AE180" s="10">
        <f t="shared" ref="AE180:AE183" si="106">(W180*0.202962)+(X180*0.202962)</f>
        <v>382070.89906848001</v>
      </c>
      <c r="AF180" s="4"/>
      <c r="AG180" s="112"/>
      <c r="AH180" s="112"/>
      <c r="AI180" s="10"/>
      <c r="AJ180" s="10"/>
      <c r="AK180" s="10"/>
      <c r="AL180" s="10"/>
      <c r="AM180" s="10">
        <f t="shared" si="78"/>
        <v>0</v>
      </c>
      <c r="AN180" s="9">
        <f t="shared" si="79"/>
        <v>227</v>
      </c>
      <c r="AO180" s="10">
        <f t="shared" si="80"/>
        <v>290340.08</v>
      </c>
      <c r="AP180" s="4"/>
      <c r="AQ180" s="4"/>
      <c r="AR180" s="4"/>
      <c r="AS180" s="4"/>
      <c r="AT180" s="9"/>
      <c r="AU180" s="4"/>
      <c r="AV180" s="4"/>
      <c r="AW180" s="4"/>
      <c r="AX180" s="4"/>
      <c r="AY180" s="4"/>
      <c r="AZ180" s="4"/>
      <c r="BA180" s="140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9">
        <f t="shared" si="68"/>
        <v>2173044.00247504</v>
      </c>
      <c r="BN180" s="9">
        <f t="shared" si="97"/>
        <v>1890853.4986557602</v>
      </c>
      <c r="BO180" s="9">
        <f t="shared" si="85"/>
        <v>278629.66445291002</v>
      </c>
      <c r="BP180" s="9">
        <f t="shared" si="86"/>
        <v>3560.8393663699999</v>
      </c>
      <c r="BQ180" s="10">
        <f t="shared" si="87"/>
        <v>0</v>
      </c>
      <c r="BR180" s="9">
        <f t="shared" si="88"/>
        <v>2173044.00247504</v>
      </c>
      <c r="BS180" s="142">
        <f t="shared" si="98"/>
        <v>1890626.4986557602</v>
      </c>
      <c r="BT180" s="83">
        <f t="shared" si="89"/>
        <v>1890626</v>
      </c>
      <c r="BU180" s="175">
        <f t="shared" si="90"/>
        <v>1.8460522841865468E-3</v>
      </c>
      <c r="BV180" s="173">
        <f t="shared" si="91"/>
        <v>278629.66445291002</v>
      </c>
      <c r="BW180" s="176">
        <f t="shared" si="92"/>
        <v>1.6245020048722253E-3</v>
      </c>
      <c r="BX180" s="177">
        <f t="shared" si="93"/>
        <v>3560.8393663699999</v>
      </c>
      <c r="BY180" s="178">
        <f t="shared" si="94"/>
        <v>3.6839523789134604E-3</v>
      </c>
      <c r="BZ180" s="4"/>
      <c r="CA180" s="4"/>
      <c r="CB180" s="4"/>
      <c r="CC180" s="4"/>
      <c r="CD180" s="4"/>
      <c r="CE180" s="4"/>
      <c r="CF180" s="4"/>
      <c r="CG180" s="126">
        <f t="shared" si="95"/>
        <v>687884.93293290003</v>
      </c>
      <c r="CH180" s="126">
        <f t="shared" si="96"/>
        <v>283313.00706710003</v>
      </c>
      <c r="CI180" s="126"/>
      <c r="CJ180" s="126"/>
      <c r="CK180" s="9"/>
      <c r="CL180" s="9"/>
      <c r="CM180" s="179"/>
      <c r="CN180" s="9"/>
      <c r="CO180" s="9"/>
      <c r="CP180" s="9"/>
      <c r="CQ180" s="126"/>
      <c r="CR180" s="126"/>
      <c r="CS180" s="126"/>
      <c r="CT180" s="126"/>
      <c r="CU180" s="126"/>
      <c r="CV180" s="9"/>
      <c r="CW180" s="9"/>
      <c r="CX180" s="127"/>
      <c r="CY180" s="69"/>
      <c r="CZ180" s="69"/>
    </row>
    <row r="181" spans="1:104" x14ac:dyDescent="0.35">
      <c r="A181" s="148">
        <v>269</v>
      </c>
      <c r="B181" s="119" t="s">
        <v>629</v>
      </c>
      <c r="C181" s="149">
        <v>31295108.857666463</v>
      </c>
      <c r="D181" s="149">
        <v>1935053.74</v>
      </c>
      <c r="E181" s="149">
        <v>626450.92000000004</v>
      </c>
      <c r="F181" s="150">
        <f t="shared" si="69"/>
        <v>2561504.66</v>
      </c>
      <c r="G181" s="149">
        <v>3750713.66</v>
      </c>
      <c r="H181" s="149">
        <v>1214250.8400000001</v>
      </c>
      <c r="I181" s="150">
        <f t="shared" si="99"/>
        <v>4964964.5</v>
      </c>
      <c r="J181" s="149">
        <v>-78.489999999999995</v>
      </c>
      <c r="K181" s="149">
        <v>-765.75</v>
      </c>
      <c r="L181" s="150">
        <f t="shared" si="70"/>
        <v>-844.24</v>
      </c>
      <c r="M181" s="151">
        <v>0</v>
      </c>
      <c r="N181" s="151">
        <v>0</v>
      </c>
      <c r="O181" s="150">
        <f t="shared" si="71"/>
        <v>0</v>
      </c>
      <c r="P181" s="149">
        <v>0</v>
      </c>
      <c r="Q181" s="149">
        <v>0</v>
      </c>
      <c r="R181" s="152">
        <f t="shared" si="72"/>
        <v>0</v>
      </c>
      <c r="S181" s="120">
        <v>0</v>
      </c>
      <c r="T181" s="120">
        <v>662498.44999999995</v>
      </c>
      <c r="U181" s="151">
        <v>130185.62</v>
      </c>
      <c r="V181" s="151">
        <v>0</v>
      </c>
      <c r="W181" s="112">
        <f t="shared" si="100"/>
        <v>3750713.66</v>
      </c>
      <c r="X181" s="112">
        <f t="shared" si="100"/>
        <v>1214250.8400000001</v>
      </c>
      <c r="Y181" s="121">
        <f t="shared" si="101"/>
        <v>1769599.4833758802</v>
      </c>
      <c r="Z181" s="121">
        <f t="shared" si="102"/>
        <v>693188.48363200005</v>
      </c>
      <c r="AA181" s="121">
        <f t="shared" si="103"/>
        <v>693188.48363200005</v>
      </c>
      <c r="AB181" s="10">
        <f t="shared" si="104"/>
        <v>791901.39089246001</v>
      </c>
      <c r="AC181" s="4"/>
      <c r="AD181" s="10">
        <f t="shared" si="105"/>
        <v>9392.4985831600006</v>
      </c>
      <c r="AE181" s="10">
        <f t="shared" si="106"/>
        <v>1007699.124849</v>
      </c>
      <c r="AF181" s="4"/>
      <c r="AG181" s="112"/>
      <c r="AH181" s="112"/>
      <c r="AI181" s="10"/>
      <c r="AJ181" s="10"/>
      <c r="AK181" s="10"/>
      <c r="AL181" s="10"/>
      <c r="AM181" s="10">
        <f t="shared" si="78"/>
        <v>0</v>
      </c>
      <c r="AN181" s="9">
        <f t="shared" si="79"/>
        <v>130185.62</v>
      </c>
      <c r="AO181" s="10">
        <f t="shared" si="80"/>
        <v>662498.44999999995</v>
      </c>
      <c r="AP181" s="4"/>
      <c r="AQ181" s="4"/>
      <c r="AR181" s="4"/>
      <c r="AS181" s="4"/>
      <c r="AT181" s="9"/>
      <c r="AU181" s="4"/>
      <c r="AV181" s="4"/>
      <c r="AW181" s="4"/>
      <c r="AX181" s="4"/>
      <c r="AY181" s="4"/>
      <c r="AZ181" s="4"/>
      <c r="BA181" s="140">
        <v>166316.85</v>
      </c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9">
        <f t="shared" si="68"/>
        <v>5923970.3849644996</v>
      </c>
      <c r="BN181" s="9">
        <f t="shared" si="97"/>
        <v>5122676.4954888802</v>
      </c>
      <c r="BO181" s="9">
        <f t="shared" si="85"/>
        <v>791901.39089246001</v>
      </c>
      <c r="BP181" s="9">
        <f t="shared" si="86"/>
        <v>9392.4985831600006</v>
      </c>
      <c r="BQ181" s="10">
        <f t="shared" si="87"/>
        <v>0</v>
      </c>
      <c r="BR181" s="9">
        <f t="shared" si="88"/>
        <v>5923970.3849645006</v>
      </c>
      <c r="BS181" s="142">
        <f t="shared" si="98"/>
        <v>4826174.0254888805</v>
      </c>
      <c r="BT181" s="83">
        <f t="shared" si="89"/>
        <v>4826174</v>
      </c>
      <c r="BU181" s="175">
        <f t="shared" si="90"/>
        <v>4.7123900939556873E-3</v>
      </c>
      <c r="BV181" s="173">
        <f t="shared" si="91"/>
        <v>791901.39089246001</v>
      </c>
      <c r="BW181" s="176">
        <f t="shared" si="92"/>
        <v>4.6170439163103595E-3</v>
      </c>
      <c r="BX181" s="177">
        <f t="shared" si="93"/>
        <v>9392.4985831600006</v>
      </c>
      <c r="BY181" s="178">
        <f t="shared" si="94"/>
        <v>9.7172362859623065E-3</v>
      </c>
      <c r="BZ181" s="4"/>
      <c r="CA181" s="4"/>
      <c r="CB181" s="4"/>
      <c r="CC181" s="4"/>
      <c r="CD181" s="4"/>
      <c r="CE181" s="4"/>
      <c r="CF181" s="4"/>
      <c r="CG181" s="126">
        <f t="shared" si="95"/>
        <v>1814275.3281081</v>
      </c>
      <c r="CH181" s="126">
        <f t="shared" si="96"/>
        <v>747229.33189190004</v>
      </c>
      <c r="CI181" s="126"/>
      <c r="CJ181" s="126"/>
      <c r="CK181" s="9"/>
      <c r="CL181" s="9"/>
      <c r="CM181" s="179"/>
      <c r="CN181" s="9"/>
      <c r="CO181" s="9"/>
      <c r="CP181" s="9"/>
      <c r="CQ181" s="126"/>
      <c r="CR181" s="126"/>
      <c r="CS181" s="126"/>
      <c r="CT181" s="126"/>
      <c r="CU181" s="126"/>
      <c r="CV181" s="9"/>
      <c r="CW181" s="9"/>
      <c r="CX181" s="127"/>
      <c r="CY181" s="69"/>
      <c r="CZ181" s="69"/>
    </row>
    <row r="182" spans="1:104" x14ac:dyDescent="0.35">
      <c r="A182" s="148">
        <v>270</v>
      </c>
      <c r="B182" s="119" t="s">
        <v>630</v>
      </c>
      <c r="C182" s="149">
        <v>31196513.133781306</v>
      </c>
      <c r="D182" s="149">
        <v>1686219.34</v>
      </c>
      <c r="E182" s="149">
        <v>867215.26</v>
      </c>
      <c r="F182" s="150">
        <f t="shared" si="69"/>
        <v>2553434.6</v>
      </c>
      <c r="G182" s="149">
        <v>3268401.18</v>
      </c>
      <c r="H182" s="149">
        <v>1680924.39</v>
      </c>
      <c r="I182" s="150">
        <f t="shared" si="99"/>
        <v>4949325.57</v>
      </c>
      <c r="J182" s="149">
        <v>-36.159999999999997</v>
      </c>
      <c r="K182" s="149">
        <v>0.16</v>
      </c>
      <c r="L182" s="150">
        <f t="shared" si="70"/>
        <v>-36</v>
      </c>
      <c r="M182" s="151">
        <v>0</v>
      </c>
      <c r="N182" s="151">
        <v>0</v>
      </c>
      <c r="O182" s="150">
        <f t="shared" si="71"/>
        <v>0</v>
      </c>
      <c r="P182" s="149">
        <v>0</v>
      </c>
      <c r="Q182" s="149">
        <v>0</v>
      </c>
      <c r="R182" s="152">
        <f t="shared" si="72"/>
        <v>0</v>
      </c>
      <c r="S182" s="120">
        <v>0</v>
      </c>
      <c r="T182" s="120">
        <v>1146614.7</v>
      </c>
      <c r="U182" s="151">
        <v>166339.62</v>
      </c>
      <c r="V182" s="151">
        <v>0</v>
      </c>
      <c r="W182" s="112">
        <f t="shared" si="100"/>
        <v>3268401.18</v>
      </c>
      <c r="X182" s="112">
        <f t="shared" si="100"/>
        <v>1680924.39</v>
      </c>
      <c r="Y182" s="121">
        <f t="shared" si="101"/>
        <v>1793681.9441716201</v>
      </c>
      <c r="Z182" s="121">
        <f t="shared" si="102"/>
        <v>691005.03878111998</v>
      </c>
      <c r="AA182" s="121">
        <f t="shared" si="103"/>
        <v>691005.03878111998</v>
      </c>
      <c r="AB182" s="10">
        <f t="shared" si="104"/>
        <v>759751.03819931997</v>
      </c>
      <c r="AC182" s="4"/>
      <c r="AD182" s="10">
        <f t="shared" si="105"/>
        <v>9362.4430540499998</v>
      </c>
      <c r="AE182" s="10">
        <f t="shared" si="106"/>
        <v>1004525.01633834</v>
      </c>
      <c r="AF182" s="4"/>
      <c r="AG182" s="112"/>
      <c r="AH182" s="112"/>
      <c r="AI182" s="10"/>
      <c r="AJ182" s="10"/>
      <c r="AK182" s="10"/>
      <c r="AL182" s="10"/>
      <c r="AM182" s="10">
        <f t="shared" si="78"/>
        <v>0</v>
      </c>
      <c r="AN182" s="9">
        <f t="shared" si="79"/>
        <v>166339.62</v>
      </c>
      <c r="AO182" s="10">
        <f t="shared" si="80"/>
        <v>1146614.7</v>
      </c>
      <c r="AP182" s="4"/>
      <c r="AQ182" s="4"/>
      <c r="AR182" s="4"/>
      <c r="AS182" s="4"/>
      <c r="AT182" s="9"/>
      <c r="AU182" s="4"/>
      <c r="AV182" s="4"/>
      <c r="AW182" s="4"/>
      <c r="AX182" s="4"/>
      <c r="AY182" s="4"/>
      <c r="AZ182" s="4"/>
      <c r="BA182" s="140">
        <v>101338.35</v>
      </c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9">
        <f t="shared" si="68"/>
        <v>6363623.1893255701</v>
      </c>
      <c r="BN182" s="9">
        <f t="shared" si="97"/>
        <v>5594509.7080721986</v>
      </c>
      <c r="BO182" s="9">
        <f t="shared" si="85"/>
        <v>759751.03819931997</v>
      </c>
      <c r="BP182" s="9">
        <f t="shared" si="86"/>
        <v>9362.4430540499998</v>
      </c>
      <c r="BQ182" s="10">
        <f t="shared" si="87"/>
        <v>0</v>
      </c>
      <c r="BR182" s="9">
        <f t="shared" si="88"/>
        <v>6363623.1893255692</v>
      </c>
      <c r="BS182" s="142">
        <f t="shared" si="98"/>
        <v>5326831.7380721997</v>
      </c>
      <c r="BT182" s="83">
        <f t="shared" si="89"/>
        <v>5326832</v>
      </c>
      <c r="BU182" s="175">
        <f t="shared" si="90"/>
        <v>5.2012440873632614E-3</v>
      </c>
      <c r="BV182" s="173">
        <f t="shared" si="91"/>
        <v>759751.03819931997</v>
      </c>
      <c r="BW182" s="176">
        <f t="shared" si="92"/>
        <v>4.4295968528043775E-3</v>
      </c>
      <c r="BX182" s="177">
        <f t="shared" si="93"/>
        <v>9362.4430540499998</v>
      </c>
      <c r="BY182" s="178">
        <f t="shared" si="94"/>
        <v>9.6861416123272068E-3</v>
      </c>
      <c r="BZ182" s="4"/>
      <c r="CA182" s="4"/>
      <c r="CB182" s="4"/>
      <c r="CC182" s="4"/>
      <c r="CD182" s="4"/>
      <c r="CE182" s="4"/>
      <c r="CF182" s="4"/>
      <c r="CG182" s="126">
        <f t="shared" si="95"/>
        <v>1808559.4256610004</v>
      </c>
      <c r="CH182" s="126">
        <f t="shared" si="96"/>
        <v>744875.17433900002</v>
      </c>
      <c r="CI182" s="126"/>
      <c r="CJ182" s="126"/>
      <c r="CK182" s="9"/>
      <c r="CL182" s="9"/>
      <c r="CM182" s="179"/>
      <c r="CN182" s="9"/>
      <c r="CO182" s="9"/>
      <c r="CP182" s="9"/>
      <c r="CQ182" s="126"/>
      <c r="CR182" s="126"/>
      <c r="CS182" s="126"/>
      <c r="CT182" s="126"/>
      <c r="CU182" s="126"/>
      <c r="CV182" s="9"/>
      <c r="CW182" s="9"/>
      <c r="CX182" s="127"/>
      <c r="CY182" s="69"/>
      <c r="CZ182" s="69"/>
    </row>
    <row r="183" spans="1:104" x14ac:dyDescent="0.35">
      <c r="A183" s="148">
        <v>273</v>
      </c>
      <c r="B183" s="119" t="s">
        <v>631</v>
      </c>
      <c r="C183" s="149">
        <v>53930145.387904704</v>
      </c>
      <c r="D183" s="149">
        <v>3160766.66</v>
      </c>
      <c r="E183" s="149">
        <v>1253415.74</v>
      </c>
      <c r="F183" s="150">
        <f t="shared" si="69"/>
        <v>4414182.4000000004</v>
      </c>
      <c r="G183" s="149">
        <v>6126519.0800000001</v>
      </c>
      <c r="H183" s="149">
        <v>2429498.9900000002</v>
      </c>
      <c r="I183" s="150">
        <f t="shared" si="99"/>
        <v>8556018.0700000003</v>
      </c>
      <c r="J183" s="149">
        <v>-0.03</v>
      </c>
      <c r="K183" s="149">
        <v>-25.57</v>
      </c>
      <c r="L183" s="150">
        <f t="shared" si="70"/>
        <v>-25.6</v>
      </c>
      <c r="M183" s="151">
        <v>0</v>
      </c>
      <c r="N183" s="151">
        <v>0</v>
      </c>
      <c r="O183" s="150">
        <f t="shared" si="71"/>
        <v>0</v>
      </c>
      <c r="P183" s="149">
        <v>0</v>
      </c>
      <c r="Q183" s="149">
        <v>0</v>
      </c>
      <c r="R183" s="152">
        <f t="shared" si="72"/>
        <v>0</v>
      </c>
      <c r="S183" s="120">
        <v>0</v>
      </c>
      <c r="T183" s="120">
        <v>2459296.41</v>
      </c>
      <c r="U183" s="151">
        <v>423650.02</v>
      </c>
      <c r="V183" s="151">
        <v>0</v>
      </c>
      <c r="W183" s="112">
        <f t="shared" si="100"/>
        <v>6126519.0800000001</v>
      </c>
      <c r="X183" s="112">
        <f t="shared" si="100"/>
        <v>2429498.9900000002</v>
      </c>
      <c r="Y183" s="121">
        <f t="shared" si="101"/>
        <v>3070755.4542438202</v>
      </c>
      <c r="Z183" s="121">
        <f t="shared" si="102"/>
        <v>1194557.0188611199</v>
      </c>
      <c r="AA183" s="121">
        <f t="shared" si="103"/>
        <v>1194557.0188611199</v>
      </c>
      <c r="AB183" s="10">
        <f t="shared" si="104"/>
        <v>1343425.0378392201</v>
      </c>
      <c r="AC183" s="4"/>
      <c r="AD183" s="10">
        <f t="shared" si="105"/>
        <v>16185.556689450001</v>
      </c>
      <c r="AE183" s="10">
        <f t="shared" si="106"/>
        <v>1736546.5395233401</v>
      </c>
      <c r="AF183" s="4"/>
      <c r="AG183" s="112"/>
      <c r="AH183" s="112"/>
      <c r="AI183" s="10"/>
      <c r="AJ183" s="10"/>
      <c r="AK183" s="10"/>
      <c r="AL183" s="10"/>
      <c r="AM183" s="10">
        <f t="shared" si="78"/>
        <v>0</v>
      </c>
      <c r="AN183" s="9">
        <f t="shared" si="79"/>
        <v>423650.02</v>
      </c>
      <c r="AO183" s="10">
        <f t="shared" si="80"/>
        <v>2459296.41</v>
      </c>
      <c r="AP183" s="4"/>
      <c r="AQ183" s="4"/>
      <c r="AR183" s="4"/>
      <c r="AS183" s="4"/>
      <c r="AT183" s="9"/>
      <c r="AU183" s="4"/>
      <c r="AV183" s="4"/>
      <c r="AW183" s="4"/>
      <c r="AX183" s="4"/>
      <c r="AY183" s="4"/>
      <c r="AZ183" s="4"/>
      <c r="BA183" s="140">
        <v>108342.81</v>
      </c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9">
        <f t="shared" si="68"/>
        <v>11547315.86601807</v>
      </c>
      <c r="BN183" s="9">
        <f t="shared" si="97"/>
        <v>10187705.2714894</v>
      </c>
      <c r="BO183" s="9">
        <f t="shared" si="85"/>
        <v>1343425.0378392201</v>
      </c>
      <c r="BP183" s="9">
        <f t="shared" si="86"/>
        <v>16185.556689450001</v>
      </c>
      <c r="BQ183" s="10">
        <f t="shared" si="87"/>
        <v>0</v>
      </c>
      <c r="BR183" s="9">
        <f t="shared" si="88"/>
        <v>11547315.866018072</v>
      </c>
      <c r="BS183" s="142">
        <f t="shared" si="98"/>
        <v>9655712.4414893985</v>
      </c>
      <c r="BT183" s="83">
        <f t="shared" si="89"/>
        <v>9655712</v>
      </c>
      <c r="BU183" s="175">
        <f t="shared" si="90"/>
        <v>9.4280652581213396E-3</v>
      </c>
      <c r="BV183" s="173">
        <f t="shared" si="91"/>
        <v>1343425.0378392201</v>
      </c>
      <c r="BW183" s="176">
        <f t="shared" si="92"/>
        <v>7.832607025710989E-3</v>
      </c>
      <c r="BX183" s="177">
        <f t="shared" si="93"/>
        <v>16185.556689450001</v>
      </c>
      <c r="BY183" s="178">
        <f t="shared" si="94"/>
        <v>1.6745158636830879E-2</v>
      </c>
      <c r="BZ183" s="4"/>
      <c r="CA183" s="4"/>
      <c r="CB183" s="4"/>
      <c r="CC183" s="4"/>
      <c r="CD183" s="4"/>
      <c r="CE183" s="4"/>
      <c r="CF183" s="4"/>
      <c r="CG183" s="126">
        <f t="shared" si="95"/>
        <v>3126499.1811840003</v>
      </c>
      <c r="CH183" s="126">
        <f t="shared" si="96"/>
        <v>1287683.218816</v>
      </c>
      <c r="CI183" s="126"/>
      <c r="CJ183" s="126"/>
      <c r="CK183" s="9"/>
      <c r="CL183" s="9"/>
      <c r="CM183" s="179"/>
      <c r="CN183" s="9"/>
      <c r="CO183" s="9"/>
      <c r="CP183" s="9"/>
      <c r="CQ183" s="126"/>
      <c r="CR183" s="126"/>
      <c r="CS183" s="126"/>
      <c r="CT183" s="126"/>
      <c r="CU183" s="126"/>
      <c r="CV183" s="9"/>
      <c r="CW183" s="9"/>
      <c r="CX183" s="127"/>
      <c r="CY183" s="69"/>
      <c r="CZ183" s="69"/>
    </row>
    <row r="184" spans="1:104" x14ac:dyDescent="0.35">
      <c r="A184" s="153">
        <v>301</v>
      </c>
      <c r="B184" s="122" t="s">
        <v>632</v>
      </c>
      <c r="C184" s="154">
        <v>6096283.8584208479</v>
      </c>
      <c r="D184" s="154">
        <v>542768.26</v>
      </c>
      <c r="E184" s="154">
        <v>240909.03</v>
      </c>
      <c r="F184" s="155">
        <f t="shared" si="69"/>
        <v>783677.29</v>
      </c>
      <c r="G184" s="154">
        <v>679987.75</v>
      </c>
      <c r="H184" s="154">
        <v>301814.28999999998</v>
      </c>
      <c r="I184" s="155">
        <f t="shared" si="99"/>
        <v>981802.04</v>
      </c>
      <c r="J184" s="154">
        <v>0</v>
      </c>
      <c r="K184" s="154">
        <v>0</v>
      </c>
      <c r="L184" s="155">
        <f t="shared" si="70"/>
        <v>0</v>
      </c>
      <c r="M184" s="156">
        <v>0</v>
      </c>
      <c r="N184" s="156">
        <v>0</v>
      </c>
      <c r="O184" s="155">
        <f t="shared" si="71"/>
        <v>0</v>
      </c>
      <c r="P184" s="154">
        <v>0</v>
      </c>
      <c r="Q184" s="154">
        <v>0</v>
      </c>
      <c r="R184" s="157">
        <f t="shared" si="72"/>
        <v>0</v>
      </c>
      <c r="S184" s="123">
        <v>0</v>
      </c>
      <c r="T184" s="123">
        <v>0</v>
      </c>
      <c r="U184" s="156">
        <v>0</v>
      </c>
      <c r="V184" s="156">
        <v>0</v>
      </c>
      <c r="W184" s="112">
        <f t="shared" si="100"/>
        <v>679987.75</v>
      </c>
      <c r="X184" s="112">
        <f t="shared" si="100"/>
        <v>301814.28999999998</v>
      </c>
      <c r="Y184" s="112">
        <f>(W184*0.565352)+(X184*0.627445)</f>
        <v>573804.30162704992</v>
      </c>
      <c r="Z184" s="112"/>
      <c r="AA184" s="112"/>
      <c r="AB184" s="10"/>
      <c r="AC184" s="10">
        <f>(W184*0.232847)+(X184*0.170754)</f>
        <v>209869.10489890998</v>
      </c>
      <c r="AD184" s="10">
        <f>(W184*0.001863)+(X184*0.001863)</f>
        <v>1829.0972005200001</v>
      </c>
      <c r="AE184" s="10">
        <f>(W184*0.199938)+(X184*0.199938)</f>
        <v>196299.53627352</v>
      </c>
      <c r="AF184" s="4"/>
      <c r="AG184" s="112"/>
      <c r="AH184" s="112"/>
      <c r="AI184" s="10"/>
      <c r="AJ184" s="10"/>
      <c r="AK184" s="10"/>
      <c r="AL184" s="10"/>
      <c r="AM184" s="10">
        <f t="shared" si="78"/>
        <v>0</v>
      </c>
      <c r="AN184" s="9">
        <f t="shared" si="79"/>
        <v>0</v>
      </c>
      <c r="AO184" s="10">
        <f t="shared" si="80"/>
        <v>0</v>
      </c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140">
        <v>74278.759999999995</v>
      </c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9">
        <f t="shared" si="68"/>
        <v>1056080.7999999998</v>
      </c>
      <c r="BN184" s="9">
        <f t="shared" si="97"/>
        <v>844382.5979005699</v>
      </c>
      <c r="BO184" s="9">
        <f>AB184+AC184+AF184+AJ184+AS184+AX184+BD184+BL184</f>
        <v>209869.10489890998</v>
      </c>
      <c r="BP184" s="9">
        <f t="shared" si="86"/>
        <v>1829.0972005200001</v>
      </c>
      <c r="BQ184" s="10">
        <f t="shared" si="87"/>
        <v>0</v>
      </c>
      <c r="BR184" s="9">
        <f t="shared" si="88"/>
        <v>1056080.8</v>
      </c>
      <c r="BS184" s="142">
        <f t="shared" si="98"/>
        <v>770103.8379005699</v>
      </c>
      <c r="BT184" s="83">
        <f t="shared" si="89"/>
        <v>770104</v>
      </c>
      <c r="BU184" s="175">
        <f t="shared" si="90"/>
        <v>7.5194754227129003E-4</v>
      </c>
      <c r="BV184" s="173">
        <f t="shared" si="91"/>
        <v>209869.10489890998</v>
      </c>
      <c r="BW184" s="176">
        <f t="shared" si="92"/>
        <v>1.2236054705030814E-3</v>
      </c>
      <c r="BX184" s="177">
        <f t="shared" si="93"/>
        <v>1829.0972005200001</v>
      </c>
      <c r="BY184" s="178">
        <f t="shared" si="94"/>
        <v>1.8923366908260137E-3</v>
      </c>
      <c r="BZ184" s="4"/>
      <c r="CA184" s="4"/>
      <c r="CB184" s="4"/>
      <c r="CC184" s="4"/>
      <c r="CD184" s="4"/>
      <c r="CE184" s="4"/>
      <c r="CF184" s="4"/>
      <c r="CG184" s="126">
        <f t="shared" si="95"/>
        <v>555066.86934765009</v>
      </c>
      <c r="CH184" s="126">
        <f t="shared" si="96"/>
        <v>228610.42065235</v>
      </c>
      <c r="CI184" s="126"/>
      <c r="CJ184" s="126"/>
      <c r="CK184" s="9"/>
      <c r="CL184" s="9"/>
      <c r="CM184" s="127"/>
      <c r="CN184" s="9"/>
      <c r="CO184" s="9"/>
      <c r="CP184" s="9"/>
      <c r="CQ184" s="126"/>
      <c r="CR184" s="126"/>
      <c r="CS184" s="126"/>
      <c r="CT184" s="126"/>
      <c r="CU184" s="126"/>
      <c r="CV184" s="9"/>
      <c r="CW184" s="9"/>
      <c r="CX184" s="127"/>
      <c r="CY184" s="70"/>
      <c r="CZ184" s="70"/>
    </row>
    <row r="185" spans="1:104" x14ac:dyDescent="0.35">
      <c r="A185" s="153">
        <v>302</v>
      </c>
      <c r="B185" s="122" t="s">
        <v>633</v>
      </c>
      <c r="C185" s="154">
        <v>6222309.4515752625</v>
      </c>
      <c r="D185" s="154">
        <v>560089.1</v>
      </c>
      <c r="E185" s="154">
        <v>239788.78</v>
      </c>
      <c r="F185" s="155">
        <f t="shared" si="69"/>
        <v>799877.88</v>
      </c>
      <c r="G185" s="154">
        <v>701689.59</v>
      </c>
      <c r="H185" s="154">
        <v>300411.01</v>
      </c>
      <c r="I185" s="155">
        <f t="shared" si="99"/>
        <v>1002100.6</v>
      </c>
      <c r="J185" s="154">
        <v>0</v>
      </c>
      <c r="K185" s="154">
        <v>0</v>
      </c>
      <c r="L185" s="155">
        <f t="shared" si="70"/>
        <v>0</v>
      </c>
      <c r="M185" s="156">
        <v>0</v>
      </c>
      <c r="N185" s="156">
        <v>0</v>
      </c>
      <c r="O185" s="155">
        <f t="shared" si="71"/>
        <v>0</v>
      </c>
      <c r="P185" s="154">
        <v>0</v>
      </c>
      <c r="Q185" s="154">
        <v>0</v>
      </c>
      <c r="R185" s="157">
        <f t="shared" si="72"/>
        <v>0</v>
      </c>
      <c r="S185" s="123">
        <v>0</v>
      </c>
      <c r="T185" s="123">
        <v>0</v>
      </c>
      <c r="U185" s="156">
        <v>0</v>
      </c>
      <c r="V185" s="156">
        <v>0</v>
      </c>
      <c r="W185" s="112">
        <f t="shared" si="100"/>
        <v>701689.59</v>
      </c>
      <c r="X185" s="112">
        <f t="shared" si="100"/>
        <v>300411.01</v>
      </c>
      <c r="Y185" s="112">
        <f t="shared" ref="Y185:Y199" si="107">(W185*0.565352)+(X185*0.627445)</f>
        <v>585192.99925512995</v>
      </c>
      <c r="Z185" s="112"/>
      <c r="AA185" s="112"/>
      <c r="AB185" s="10"/>
      <c r="AC185" s="10">
        <f t="shared" ref="AC185:AC196" si="108">(W185*0.232847)+(X185*0.170754)</f>
        <v>214682.69756427</v>
      </c>
      <c r="AD185" s="10">
        <f t="shared" ref="AD185:AD204" si="109">(W185*0.001863)+(X185*0.001863)</f>
        <v>1866.9134177999999</v>
      </c>
      <c r="AE185" s="10">
        <f t="shared" ref="AE185:AE204" si="110">(W185*0.199938)+(X185*0.199938)</f>
        <v>200357.98976279999</v>
      </c>
      <c r="AF185" s="4"/>
      <c r="AG185" s="112"/>
      <c r="AH185" s="112"/>
      <c r="AI185" s="10"/>
      <c r="AJ185" s="10"/>
      <c r="AK185" s="10"/>
      <c r="AL185" s="10"/>
      <c r="AM185" s="10">
        <f t="shared" si="78"/>
        <v>0</v>
      </c>
      <c r="AN185" s="9">
        <f t="shared" si="79"/>
        <v>0</v>
      </c>
      <c r="AO185" s="10">
        <f t="shared" si="80"/>
        <v>0</v>
      </c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140">
        <v>106964.31</v>
      </c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9">
        <f t="shared" si="68"/>
        <v>1109064.9099999999</v>
      </c>
      <c r="BN185" s="9">
        <f t="shared" si="97"/>
        <v>892515.29901792994</v>
      </c>
      <c r="BO185" s="9">
        <f t="shared" si="85"/>
        <v>214682.69756427</v>
      </c>
      <c r="BP185" s="9">
        <f t="shared" si="86"/>
        <v>1866.9134177999999</v>
      </c>
      <c r="BQ185" s="10">
        <f t="shared" si="87"/>
        <v>0</v>
      </c>
      <c r="BR185" s="9">
        <f t="shared" si="88"/>
        <v>1109064.9099999999</v>
      </c>
      <c r="BS185" s="142">
        <f t="shared" si="98"/>
        <v>785550.98901792988</v>
      </c>
      <c r="BT185" s="83">
        <f t="shared" si="89"/>
        <v>785551</v>
      </c>
      <c r="BU185" s="175">
        <f t="shared" si="90"/>
        <v>7.6703050478379704E-4</v>
      </c>
      <c r="BV185" s="173">
        <f t="shared" si="91"/>
        <v>214682.69756427</v>
      </c>
      <c r="BW185" s="176">
        <f t="shared" si="92"/>
        <v>1.2516702889095118E-3</v>
      </c>
      <c r="BX185" s="177">
        <f t="shared" si="93"/>
        <v>1866.9134177999999</v>
      </c>
      <c r="BY185" s="178">
        <f t="shared" si="94"/>
        <v>1.9314603718675943E-3</v>
      </c>
      <c r="BZ185" s="4"/>
      <c r="CA185" s="4"/>
      <c r="CB185" s="4"/>
      <c r="CC185" s="4"/>
      <c r="CD185" s="4"/>
      <c r="CE185" s="4"/>
      <c r="CF185" s="4"/>
      <c r="CG185" s="126">
        <f t="shared" si="95"/>
        <v>566541.50423580001</v>
      </c>
      <c r="CH185" s="126">
        <f t="shared" si="96"/>
        <v>233336.3757642</v>
      </c>
      <c r="CI185" s="126"/>
      <c r="CJ185" s="126"/>
      <c r="CK185" s="9"/>
      <c r="CL185" s="9"/>
      <c r="CM185" s="127"/>
      <c r="CN185" s="9"/>
      <c r="CO185" s="9"/>
      <c r="CP185" s="9"/>
      <c r="CQ185" s="126"/>
      <c r="CR185" s="126"/>
      <c r="CS185" s="126"/>
      <c r="CT185" s="126"/>
      <c r="CU185" s="126"/>
      <c r="CV185" s="9"/>
      <c r="CW185" s="9"/>
      <c r="CX185" s="127"/>
      <c r="CY185" s="70"/>
      <c r="CZ185" s="70"/>
    </row>
    <row r="186" spans="1:104" x14ac:dyDescent="0.35">
      <c r="A186" s="153">
        <v>303</v>
      </c>
      <c r="B186" s="122" t="s">
        <v>634</v>
      </c>
      <c r="C186" s="154">
        <v>28354.803578374176</v>
      </c>
      <c r="D186" s="154">
        <v>2958.81</v>
      </c>
      <c r="E186" s="154">
        <v>686.2</v>
      </c>
      <c r="F186" s="155">
        <f t="shared" si="69"/>
        <v>3645.01</v>
      </c>
      <c r="G186" s="154">
        <v>3706.86</v>
      </c>
      <c r="H186" s="154">
        <v>859.71</v>
      </c>
      <c r="I186" s="155">
        <f t="shared" si="99"/>
        <v>4566.57</v>
      </c>
      <c r="J186" s="154">
        <v>0</v>
      </c>
      <c r="K186" s="154">
        <v>0</v>
      </c>
      <c r="L186" s="155">
        <f t="shared" si="70"/>
        <v>0</v>
      </c>
      <c r="M186" s="156">
        <v>0</v>
      </c>
      <c r="N186" s="156">
        <v>0</v>
      </c>
      <c r="O186" s="155">
        <f t="shared" si="71"/>
        <v>0</v>
      </c>
      <c r="P186" s="154">
        <v>0</v>
      </c>
      <c r="Q186" s="154">
        <v>0</v>
      </c>
      <c r="R186" s="157">
        <f t="shared" si="72"/>
        <v>0</v>
      </c>
      <c r="S186" s="123">
        <v>0</v>
      </c>
      <c r="T186" s="123">
        <v>0</v>
      </c>
      <c r="U186" s="156">
        <v>0</v>
      </c>
      <c r="V186" s="156">
        <v>0</v>
      </c>
      <c r="W186" s="112">
        <f t="shared" si="100"/>
        <v>3706.86</v>
      </c>
      <c r="X186" s="112">
        <f t="shared" si="100"/>
        <v>859.71</v>
      </c>
      <c r="Y186" s="112">
        <f t="shared" si="107"/>
        <v>2635.1014556699997</v>
      </c>
      <c r="Z186" s="112"/>
      <c r="AA186" s="112"/>
      <c r="AB186" s="10"/>
      <c r="AC186" s="10">
        <f t="shared" si="108"/>
        <v>1009.9301517600001</v>
      </c>
      <c r="AD186" s="10">
        <f t="shared" si="109"/>
        <v>8.507519910000001</v>
      </c>
      <c r="AE186" s="10">
        <f t="shared" si="110"/>
        <v>913.03087266000011</v>
      </c>
      <c r="AF186" s="4"/>
      <c r="AG186" s="112"/>
      <c r="AH186" s="112"/>
      <c r="AI186" s="10"/>
      <c r="AJ186" s="10"/>
      <c r="AK186" s="10"/>
      <c r="AL186" s="10"/>
      <c r="AM186" s="10">
        <f t="shared" si="78"/>
        <v>0</v>
      </c>
      <c r="AN186" s="9">
        <f t="shared" si="79"/>
        <v>0</v>
      </c>
      <c r="AO186" s="10">
        <f t="shared" si="80"/>
        <v>0</v>
      </c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140">
        <v>50516.23</v>
      </c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9">
        <f t="shared" si="68"/>
        <v>55082.8</v>
      </c>
      <c r="BN186" s="9">
        <f t="shared" si="97"/>
        <v>54064.362328330004</v>
      </c>
      <c r="BO186" s="9">
        <f t="shared" si="85"/>
        <v>1009.9301517600001</v>
      </c>
      <c r="BP186" s="9">
        <f t="shared" si="86"/>
        <v>8.507519910000001</v>
      </c>
      <c r="BQ186" s="10">
        <f t="shared" si="87"/>
        <v>0</v>
      </c>
      <c r="BR186" s="9">
        <f t="shared" si="88"/>
        <v>55082.80000000001</v>
      </c>
      <c r="BS186" s="142">
        <f t="shared" si="98"/>
        <v>3548.1323283299998</v>
      </c>
      <c r="BT186" s="83">
        <f t="shared" si="89"/>
        <v>3548</v>
      </c>
      <c r="BU186" s="175">
        <f t="shared" si="90"/>
        <v>3.4644800514362933E-6</v>
      </c>
      <c r="BV186" s="173">
        <f t="shared" si="91"/>
        <v>1009.9301517600001</v>
      </c>
      <c r="BW186" s="176">
        <f t="shared" si="92"/>
        <v>5.8882228478307167E-6</v>
      </c>
      <c r="BX186" s="177">
        <f t="shared" si="93"/>
        <v>8.507519910000001</v>
      </c>
      <c r="BY186" s="178">
        <f t="shared" si="94"/>
        <v>8.8016602228951883E-6</v>
      </c>
      <c r="BZ186" s="4"/>
      <c r="CA186" s="4"/>
      <c r="CB186" s="4"/>
      <c r="CC186" s="4"/>
      <c r="CD186" s="4"/>
      <c r="CE186" s="4"/>
      <c r="CF186" s="4"/>
      <c r="CG186" s="126">
        <f t="shared" si="95"/>
        <v>2581.7059078500001</v>
      </c>
      <c r="CH186" s="126">
        <f t="shared" si="96"/>
        <v>1063.3040921499999</v>
      </c>
      <c r="CI186" s="126"/>
      <c r="CJ186" s="126"/>
      <c r="CK186" s="9"/>
      <c r="CL186" s="9"/>
      <c r="CM186" s="127"/>
      <c r="CN186" s="9"/>
      <c r="CO186" s="9"/>
      <c r="CP186" s="9"/>
      <c r="CQ186" s="126"/>
      <c r="CR186" s="126"/>
      <c r="CS186" s="126"/>
      <c r="CT186" s="126"/>
      <c r="CU186" s="126"/>
      <c r="CV186" s="9"/>
      <c r="CW186" s="9"/>
      <c r="CX186" s="127"/>
      <c r="CY186" s="70"/>
      <c r="CZ186" s="70"/>
    </row>
    <row r="187" spans="1:104" x14ac:dyDescent="0.35">
      <c r="A187" s="153">
        <v>304</v>
      </c>
      <c r="B187" s="122" t="s">
        <v>635</v>
      </c>
      <c r="C187" s="154">
        <v>4924864.8774795802</v>
      </c>
      <c r="D187" s="154">
        <v>404942.11</v>
      </c>
      <c r="E187" s="154">
        <v>228149.27</v>
      </c>
      <c r="F187" s="155">
        <f t="shared" si="69"/>
        <v>633091.38</v>
      </c>
      <c r="G187" s="154">
        <v>507317.44</v>
      </c>
      <c r="H187" s="154">
        <v>285828.89</v>
      </c>
      <c r="I187" s="155">
        <f t="shared" si="99"/>
        <v>793146.33000000007</v>
      </c>
      <c r="J187" s="154">
        <v>0</v>
      </c>
      <c r="K187" s="154">
        <v>0</v>
      </c>
      <c r="L187" s="155">
        <f t="shared" si="70"/>
        <v>0</v>
      </c>
      <c r="M187" s="156">
        <v>0</v>
      </c>
      <c r="N187" s="156">
        <v>0</v>
      </c>
      <c r="O187" s="155">
        <f t="shared" si="71"/>
        <v>0</v>
      </c>
      <c r="P187" s="154">
        <v>0</v>
      </c>
      <c r="Q187" s="154">
        <v>0</v>
      </c>
      <c r="R187" s="157">
        <f t="shared" si="72"/>
        <v>0</v>
      </c>
      <c r="S187" s="123">
        <v>0</v>
      </c>
      <c r="T187" s="123">
        <v>0</v>
      </c>
      <c r="U187" s="156">
        <v>0</v>
      </c>
      <c r="V187" s="156">
        <v>0</v>
      </c>
      <c r="W187" s="112">
        <f t="shared" si="100"/>
        <v>507317.44</v>
      </c>
      <c r="X187" s="112">
        <f t="shared" si="100"/>
        <v>285828.89</v>
      </c>
      <c r="Y187" s="112">
        <f t="shared" si="107"/>
        <v>466154.83722493006</v>
      </c>
      <c r="Z187" s="112"/>
      <c r="AA187" s="112"/>
      <c r="AB187" s="10"/>
      <c r="AC187" s="10">
        <f t="shared" si="108"/>
        <v>166933.77023473999</v>
      </c>
      <c r="AD187" s="10">
        <f t="shared" si="109"/>
        <v>1477.63161279</v>
      </c>
      <c r="AE187" s="10">
        <f t="shared" si="110"/>
        <v>158580.09092754</v>
      </c>
      <c r="AF187" s="4"/>
      <c r="AG187" s="112"/>
      <c r="AH187" s="112"/>
      <c r="AI187" s="10"/>
      <c r="AJ187" s="10"/>
      <c r="AK187" s="10"/>
      <c r="AL187" s="10"/>
      <c r="AM187" s="10">
        <f t="shared" si="78"/>
        <v>0</v>
      </c>
      <c r="AN187" s="9">
        <f t="shared" si="79"/>
        <v>0</v>
      </c>
      <c r="AO187" s="10">
        <f t="shared" si="80"/>
        <v>0</v>
      </c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140">
        <v>47478.83</v>
      </c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9">
        <f t="shared" si="68"/>
        <v>840625.16</v>
      </c>
      <c r="BN187" s="9">
        <f t="shared" si="97"/>
        <v>672213.75815246999</v>
      </c>
      <c r="BO187" s="9">
        <f t="shared" si="85"/>
        <v>166933.77023473999</v>
      </c>
      <c r="BP187" s="9">
        <f t="shared" si="86"/>
        <v>1477.63161279</v>
      </c>
      <c r="BQ187" s="10">
        <f t="shared" si="87"/>
        <v>0</v>
      </c>
      <c r="BR187" s="9">
        <f t="shared" si="88"/>
        <v>840625.16</v>
      </c>
      <c r="BS187" s="142">
        <f t="shared" si="98"/>
        <v>624734.92815247003</v>
      </c>
      <c r="BT187" s="83">
        <f t="shared" si="89"/>
        <v>624735</v>
      </c>
      <c r="BU187" s="175">
        <f t="shared" si="90"/>
        <v>6.1000591176891888E-4</v>
      </c>
      <c r="BV187" s="173">
        <f t="shared" si="91"/>
        <v>166933.77023473999</v>
      </c>
      <c r="BW187" s="176">
        <f t="shared" si="92"/>
        <v>9.7327843738277263E-4</v>
      </c>
      <c r="BX187" s="177">
        <f t="shared" si="93"/>
        <v>1477.63161279</v>
      </c>
      <c r="BY187" s="178">
        <f t="shared" si="94"/>
        <v>1.5287194773530898E-3</v>
      </c>
      <c r="BZ187" s="4"/>
      <c r="CA187" s="4"/>
      <c r="CB187" s="4"/>
      <c r="CC187" s="4"/>
      <c r="CD187" s="4"/>
      <c r="CE187" s="4"/>
      <c r="CF187" s="4"/>
      <c r="CG187" s="126">
        <f t="shared" si="95"/>
        <v>448409.12808330002</v>
      </c>
      <c r="CH187" s="126">
        <f t="shared" si="96"/>
        <v>184682.25191669998</v>
      </c>
      <c r="CI187" s="126"/>
      <c r="CJ187" s="126"/>
      <c r="CK187" s="9"/>
      <c r="CL187" s="9"/>
      <c r="CM187" s="127"/>
      <c r="CN187" s="9"/>
      <c r="CO187" s="9"/>
      <c r="CP187" s="9"/>
      <c r="CQ187" s="126"/>
      <c r="CR187" s="126"/>
      <c r="CS187" s="126"/>
      <c r="CT187" s="126"/>
      <c r="CU187" s="126"/>
      <c r="CV187" s="9"/>
      <c r="CW187" s="9"/>
      <c r="CX187" s="127"/>
      <c r="CY187" s="70"/>
      <c r="CZ187" s="70"/>
    </row>
    <row r="188" spans="1:104" x14ac:dyDescent="0.35">
      <c r="A188" s="153">
        <v>305</v>
      </c>
      <c r="B188" s="122" t="s">
        <v>636</v>
      </c>
      <c r="C188" s="154">
        <v>5805754.9591598604</v>
      </c>
      <c r="D188" s="154">
        <v>501355.6</v>
      </c>
      <c r="E188" s="154">
        <v>244974.2</v>
      </c>
      <c r="F188" s="155">
        <f t="shared" si="69"/>
        <v>746329.8</v>
      </c>
      <c r="G188" s="154">
        <v>628109.18999999994</v>
      </c>
      <c r="H188" s="154">
        <v>306906.58</v>
      </c>
      <c r="I188" s="155">
        <f t="shared" si="99"/>
        <v>935015.77</v>
      </c>
      <c r="J188" s="154">
        <v>0</v>
      </c>
      <c r="K188" s="154">
        <v>0</v>
      </c>
      <c r="L188" s="155">
        <f t="shared" si="70"/>
        <v>0</v>
      </c>
      <c r="M188" s="156">
        <v>0</v>
      </c>
      <c r="N188" s="156">
        <v>0</v>
      </c>
      <c r="O188" s="155">
        <f t="shared" si="71"/>
        <v>0</v>
      </c>
      <c r="P188" s="154">
        <v>0</v>
      </c>
      <c r="Q188" s="154">
        <v>0</v>
      </c>
      <c r="R188" s="157">
        <f t="shared" si="72"/>
        <v>0</v>
      </c>
      <c r="S188" s="123">
        <v>0</v>
      </c>
      <c r="T188" s="123">
        <v>0</v>
      </c>
      <c r="U188" s="156">
        <v>0</v>
      </c>
      <c r="V188" s="156">
        <v>0</v>
      </c>
      <c r="W188" s="112">
        <f t="shared" si="100"/>
        <v>628109.18999999994</v>
      </c>
      <c r="X188" s="112">
        <f t="shared" si="100"/>
        <v>306906.58</v>
      </c>
      <c r="Y188" s="112">
        <f t="shared" si="107"/>
        <v>547669.7858729799</v>
      </c>
      <c r="Z188" s="112"/>
      <c r="AA188" s="112"/>
      <c r="AB188" s="10"/>
      <c r="AC188" s="10">
        <f t="shared" si="108"/>
        <v>198658.86672524997</v>
      </c>
      <c r="AD188" s="10">
        <f t="shared" si="109"/>
        <v>1741.9343795099999</v>
      </c>
      <c r="AE188" s="10">
        <f t="shared" si="110"/>
        <v>186945.18302226</v>
      </c>
      <c r="AF188" s="4"/>
      <c r="AG188" s="112"/>
      <c r="AH188" s="112"/>
      <c r="AI188" s="10"/>
      <c r="AJ188" s="10"/>
      <c r="AK188" s="10"/>
      <c r="AL188" s="10"/>
      <c r="AM188" s="10">
        <f t="shared" si="78"/>
        <v>0</v>
      </c>
      <c r="AN188" s="9">
        <f t="shared" si="79"/>
        <v>0</v>
      </c>
      <c r="AO188" s="10">
        <f t="shared" si="80"/>
        <v>0</v>
      </c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140">
        <v>116141.81</v>
      </c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9">
        <f t="shared" si="68"/>
        <v>1051157.5799999998</v>
      </c>
      <c r="BN188" s="9">
        <f t="shared" si="97"/>
        <v>850756.77889523981</v>
      </c>
      <c r="BO188" s="9">
        <f t="shared" si="85"/>
        <v>198658.86672524997</v>
      </c>
      <c r="BP188" s="9">
        <f t="shared" si="86"/>
        <v>1741.9343795099999</v>
      </c>
      <c r="BQ188" s="10">
        <f t="shared" si="87"/>
        <v>0</v>
      </c>
      <c r="BR188" s="9">
        <f t="shared" si="88"/>
        <v>1051157.5799999998</v>
      </c>
      <c r="BS188" s="142">
        <f t="shared" si="98"/>
        <v>734614.96889523987</v>
      </c>
      <c r="BT188" s="83">
        <f t="shared" si="89"/>
        <v>734615</v>
      </c>
      <c r="BU188" s="175">
        <f t="shared" si="90"/>
        <v>7.1729537393604907E-4</v>
      </c>
      <c r="BV188" s="173">
        <f t="shared" si="91"/>
        <v>198658.86672524997</v>
      </c>
      <c r="BW188" s="176">
        <f t="shared" si="92"/>
        <v>1.1582461182461589E-3</v>
      </c>
      <c r="BX188" s="177">
        <f t="shared" si="93"/>
        <v>1741.9343795099999</v>
      </c>
      <c r="BY188" s="178">
        <f t="shared" si="94"/>
        <v>1.8021602889233526E-3</v>
      </c>
      <c r="BZ188" s="4"/>
      <c r="CA188" s="4"/>
      <c r="CB188" s="4"/>
      <c r="CC188" s="4"/>
      <c r="CD188" s="4"/>
      <c r="CE188" s="4"/>
      <c r="CF188" s="4"/>
      <c r="CG188" s="126">
        <f t="shared" si="95"/>
        <v>528614.20239300001</v>
      </c>
      <c r="CH188" s="126">
        <f t="shared" si="96"/>
        <v>217715.59760699997</v>
      </c>
      <c r="CI188" s="126"/>
      <c r="CJ188" s="126"/>
      <c r="CK188" s="9"/>
      <c r="CL188" s="9"/>
      <c r="CM188" s="127"/>
      <c r="CN188" s="9"/>
      <c r="CO188" s="9"/>
      <c r="CP188" s="9"/>
      <c r="CQ188" s="126"/>
      <c r="CR188" s="126"/>
      <c r="CS188" s="126"/>
      <c r="CT188" s="126"/>
      <c r="CU188" s="126"/>
      <c r="CV188" s="9"/>
      <c r="CW188" s="9"/>
      <c r="CX188" s="127"/>
      <c r="CY188" s="70"/>
      <c r="CZ188" s="70"/>
    </row>
    <row r="189" spans="1:104" x14ac:dyDescent="0.35">
      <c r="A189" s="153">
        <v>308</v>
      </c>
      <c r="B189" s="122" t="s">
        <v>637</v>
      </c>
      <c r="C189" s="154">
        <v>423459.1987553481</v>
      </c>
      <c r="D189" s="154">
        <v>54435.68</v>
      </c>
      <c r="E189" s="154" t="s">
        <v>665</v>
      </c>
      <c r="F189" s="155">
        <f t="shared" si="69"/>
        <v>54435.68</v>
      </c>
      <c r="G189" s="154">
        <v>68198.649999999994</v>
      </c>
      <c r="H189" s="154" t="s">
        <v>665</v>
      </c>
      <c r="I189" s="155">
        <f t="shared" si="99"/>
        <v>68198.649999999994</v>
      </c>
      <c r="J189" s="154">
        <v>0</v>
      </c>
      <c r="K189" s="154" t="s">
        <v>665</v>
      </c>
      <c r="L189" s="155">
        <f t="shared" si="70"/>
        <v>0</v>
      </c>
      <c r="M189" s="156">
        <v>0</v>
      </c>
      <c r="N189" s="156" t="s">
        <v>665</v>
      </c>
      <c r="O189" s="155">
        <f t="shared" si="71"/>
        <v>0</v>
      </c>
      <c r="P189" s="154">
        <v>0</v>
      </c>
      <c r="Q189" s="154" t="s">
        <v>665</v>
      </c>
      <c r="R189" s="157">
        <f t="shared" si="72"/>
        <v>0</v>
      </c>
      <c r="S189" s="123">
        <v>0</v>
      </c>
      <c r="T189" s="123">
        <v>0</v>
      </c>
      <c r="U189" s="156">
        <v>0</v>
      </c>
      <c r="V189" s="156">
        <v>0</v>
      </c>
      <c r="W189" s="112">
        <f t="shared" si="100"/>
        <v>68198.649999999994</v>
      </c>
      <c r="X189" s="158" t="str">
        <f t="shared" si="100"/>
        <v>0</v>
      </c>
      <c r="Y189" s="112">
        <f t="shared" si="107"/>
        <v>38556.243174799994</v>
      </c>
      <c r="Z189" s="112"/>
      <c r="AA189" s="112"/>
      <c r="AB189" s="10"/>
      <c r="AC189" s="10">
        <f t="shared" si="108"/>
        <v>15879.851056549998</v>
      </c>
      <c r="AD189" s="10">
        <f t="shared" si="109"/>
        <v>127.05408494999999</v>
      </c>
      <c r="AE189" s="10">
        <f t="shared" si="110"/>
        <v>13635.501683699998</v>
      </c>
      <c r="AF189" s="4"/>
      <c r="AG189" s="112"/>
      <c r="AH189" s="112"/>
      <c r="AI189" s="10"/>
      <c r="AJ189" s="10"/>
      <c r="AK189" s="10"/>
      <c r="AL189" s="10"/>
      <c r="AM189" s="10">
        <f t="shared" si="78"/>
        <v>0</v>
      </c>
      <c r="AN189" s="9">
        <f t="shared" si="79"/>
        <v>0</v>
      </c>
      <c r="AO189" s="10">
        <f t="shared" si="80"/>
        <v>0</v>
      </c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140">
        <v>2395.19</v>
      </c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9">
        <f t="shared" si="68"/>
        <v>70593.84</v>
      </c>
      <c r="BN189" s="9">
        <f t="shared" si="97"/>
        <v>54586.934858499997</v>
      </c>
      <c r="BO189" s="9">
        <f t="shared" si="85"/>
        <v>15879.851056549998</v>
      </c>
      <c r="BP189" s="9">
        <f t="shared" si="86"/>
        <v>127.05408494999999</v>
      </c>
      <c r="BQ189" s="10">
        <f t="shared" si="87"/>
        <v>0</v>
      </c>
      <c r="BR189" s="9">
        <f t="shared" si="88"/>
        <v>70593.84</v>
      </c>
      <c r="BS189" s="142">
        <f t="shared" si="98"/>
        <v>52191.744858499995</v>
      </c>
      <c r="BT189" s="83">
        <f t="shared" si="89"/>
        <v>52192</v>
      </c>
      <c r="BU189" s="175">
        <f t="shared" si="90"/>
        <v>5.0961250083091255E-5</v>
      </c>
      <c r="BV189" s="173">
        <f t="shared" si="91"/>
        <v>15879.851056549998</v>
      </c>
      <c r="BW189" s="176">
        <f t="shared" si="92"/>
        <v>9.2584721476408381E-5</v>
      </c>
      <c r="BX189" s="177">
        <f t="shared" si="93"/>
        <v>127.05408494999999</v>
      </c>
      <c r="BY189" s="178">
        <f t="shared" si="94"/>
        <v>1.3144687258930682E-4</v>
      </c>
      <c r="BZ189" s="4"/>
      <c r="CA189" s="4"/>
      <c r="CB189" s="4"/>
      <c r="CC189" s="4"/>
      <c r="CD189" s="4"/>
      <c r="CE189" s="4"/>
      <c r="CF189" s="4"/>
      <c r="CG189" s="126">
        <f t="shared" si="95"/>
        <v>38555.975608800007</v>
      </c>
      <c r="CH189" s="126">
        <f t="shared" si="96"/>
        <v>15879.704391200001</v>
      </c>
      <c r="CI189" s="126"/>
      <c r="CJ189" s="126"/>
      <c r="CK189" s="9"/>
      <c r="CL189" s="9"/>
      <c r="CM189" s="127"/>
      <c r="CN189" s="9"/>
      <c r="CO189" s="9"/>
      <c r="CP189" s="9"/>
      <c r="CQ189" s="126"/>
      <c r="CR189" s="126"/>
      <c r="CS189" s="126"/>
      <c r="CT189" s="126"/>
      <c r="CU189" s="126"/>
      <c r="CV189" s="9"/>
      <c r="CW189" s="9"/>
      <c r="CX189" s="127"/>
      <c r="CY189" s="70"/>
      <c r="CZ189" s="70"/>
    </row>
    <row r="190" spans="1:104" x14ac:dyDescent="0.35">
      <c r="A190" s="153">
        <v>316</v>
      </c>
      <c r="B190" s="122" t="s">
        <v>638</v>
      </c>
      <c r="C190" s="154">
        <v>1808290.4706339946</v>
      </c>
      <c r="D190" s="154">
        <v>193711.39</v>
      </c>
      <c r="E190" s="154">
        <v>38744.35</v>
      </c>
      <c r="F190" s="155">
        <f t="shared" si="69"/>
        <v>232455.74000000002</v>
      </c>
      <c r="G190" s="154">
        <v>242684.92</v>
      </c>
      <c r="H190" s="154">
        <v>48539.51</v>
      </c>
      <c r="I190" s="155">
        <f t="shared" si="99"/>
        <v>291224.43</v>
      </c>
      <c r="J190" s="154">
        <v>0</v>
      </c>
      <c r="K190" s="154">
        <v>0</v>
      </c>
      <c r="L190" s="155">
        <f t="shared" si="70"/>
        <v>0</v>
      </c>
      <c r="M190" s="156">
        <v>0</v>
      </c>
      <c r="N190" s="156">
        <v>0</v>
      </c>
      <c r="O190" s="155">
        <f t="shared" si="71"/>
        <v>0</v>
      </c>
      <c r="P190" s="154">
        <v>0</v>
      </c>
      <c r="Q190" s="154">
        <v>0</v>
      </c>
      <c r="R190" s="157">
        <f t="shared" si="72"/>
        <v>0</v>
      </c>
      <c r="S190" s="123">
        <v>0</v>
      </c>
      <c r="T190" s="123">
        <v>0</v>
      </c>
      <c r="U190" s="156">
        <v>0</v>
      </c>
      <c r="V190" s="156">
        <v>0</v>
      </c>
      <c r="W190" s="112">
        <f t="shared" si="100"/>
        <v>242684.92</v>
      </c>
      <c r="X190" s="112">
        <f t="shared" si="100"/>
        <v>48539.51</v>
      </c>
      <c r="Y190" s="112">
        <f t="shared" si="107"/>
        <v>167658.27774379001</v>
      </c>
      <c r="Z190" s="112"/>
      <c r="AA190" s="112"/>
      <c r="AB190" s="10"/>
      <c r="AC190" s="10">
        <f t="shared" si="108"/>
        <v>64796.771057780003</v>
      </c>
      <c r="AD190" s="10">
        <f t="shared" si="109"/>
        <v>542.55111309000006</v>
      </c>
      <c r="AE190" s="10">
        <f t="shared" si="110"/>
        <v>58226.83008534</v>
      </c>
      <c r="AF190" s="4"/>
      <c r="AG190" s="112"/>
      <c r="AH190" s="112"/>
      <c r="AI190" s="10"/>
      <c r="AJ190" s="10"/>
      <c r="AK190" s="10"/>
      <c r="AL190" s="10"/>
      <c r="AM190" s="10">
        <f t="shared" si="78"/>
        <v>0</v>
      </c>
      <c r="AN190" s="9">
        <f t="shared" si="79"/>
        <v>0</v>
      </c>
      <c r="AO190" s="10">
        <f t="shared" si="80"/>
        <v>0</v>
      </c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140">
        <v>73100.2</v>
      </c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9">
        <f t="shared" si="68"/>
        <v>364324.63000000006</v>
      </c>
      <c r="BN190" s="9">
        <f t="shared" si="97"/>
        <v>298985.30782913003</v>
      </c>
      <c r="BO190" s="9">
        <f t="shared" si="85"/>
        <v>64796.771057780003</v>
      </c>
      <c r="BP190" s="9">
        <f t="shared" si="86"/>
        <v>542.55111309000006</v>
      </c>
      <c r="BQ190" s="10">
        <f t="shared" si="87"/>
        <v>0</v>
      </c>
      <c r="BR190" s="9">
        <f t="shared" si="88"/>
        <v>364324.63000000006</v>
      </c>
      <c r="BS190" s="142">
        <f t="shared" si="98"/>
        <v>225885.10782913002</v>
      </c>
      <c r="BT190" s="83">
        <f t="shared" si="89"/>
        <v>225885</v>
      </c>
      <c r="BU190" s="175">
        <f t="shared" si="90"/>
        <v>2.2055954445162747E-4</v>
      </c>
      <c r="BV190" s="173">
        <f t="shared" si="91"/>
        <v>64796.771057780003</v>
      </c>
      <c r="BW190" s="176">
        <f t="shared" si="92"/>
        <v>3.7778635199986092E-4</v>
      </c>
      <c r="BX190" s="177">
        <f t="shared" si="93"/>
        <v>542.55111309000006</v>
      </c>
      <c r="BY190" s="178">
        <f t="shared" si="94"/>
        <v>5.6130935942432154E-4</v>
      </c>
      <c r="BZ190" s="4"/>
      <c r="CA190" s="4"/>
      <c r="CB190" s="4"/>
      <c r="CC190" s="4"/>
      <c r="CD190" s="4"/>
      <c r="CE190" s="4"/>
      <c r="CF190" s="4"/>
      <c r="CG190" s="126">
        <f t="shared" si="95"/>
        <v>164644.91380590003</v>
      </c>
      <c r="CH190" s="126">
        <f t="shared" si="96"/>
        <v>67810.826194100009</v>
      </c>
      <c r="CI190" s="126"/>
      <c r="CJ190" s="126"/>
      <c r="CK190" s="9"/>
      <c r="CL190" s="9"/>
      <c r="CM190" s="127"/>
      <c r="CN190" s="9"/>
      <c r="CO190" s="9"/>
      <c r="CP190" s="9"/>
      <c r="CQ190" s="126"/>
      <c r="CR190" s="126"/>
      <c r="CS190" s="126"/>
      <c r="CT190" s="126"/>
      <c r="CU190" s="126"/>
      <c r="CV190" s="9"/>
      <c r="CW190" s="9"/>
      <c r="CX190" s="127"/>
      <c r="CY190" s="70"/>
      <c r="CZ190" s="70"/>
    </row>
    <row r="191" spans="1:104" x14ac:dyDescent="0.35">
      <c r="A191" s="153">
        <v>317</v>
      </c>
      <c r="B191" s="122" t="s">
        <v>639</v>
      </c>
      <c r="C191" s="154">
        <v>79418.280824581874</v>
      </c>
      <c r="D191" s="154">
        <v>10209.219999999999</v>
      </c>
      <c r="E191" s="154" t="s">
        <v>665</v>
      </c>
      <c r="F191" s="155">
        <f t="shared" si="69"/>
        <v>10209.219999999999</v>
      </c>
      <c r="G191" s="154">
        <v>12790.27</v>
      </c>
      <c r="H191" s="154" t="s">
        <v>665</v>
      </c>
      <c r="I191" s="155">
        <f t="shared" si="99"/>
        <v>12790.27</v>
      </c>
      <c r="J191" s="154">
        <v>0</v>
      </c>
      <c r="K191" s="154" t="s">
        <v>665</v>
      </c>
      <c r="L191" s="155">
        <f t="shared" si="70"/>
        <v>0</v>
      </c>
      <c r="M191" s="156">
        <v>0</v>
      </c>
      <c r="N191" s="156" t="s">
        <v>665</v>
      </c>
      <c r="O191" s="155">
        <f t="shared" si="71"/>
        <v>0</v>
      </c>
      <c r="P191" s="154">
        <v>0</v>
      </c>
      <c r="Q191" s="154" t="s">
        <v>665</v>
      </c>
      <c r="R191" s="157">
        <f t="shared" si="72"/>
        <v>0</v>
      </c>
      <c r="S191" s="123">
        <v>0</v>
      </c>
      <c r="T191" s="123">
        <v>0</v>
      </c>
      <c r="U191" s="156">
        <v>0</v>
      </c>
      <c r="V191" s="156">
        <v>0</v>
      </c>
      <c r="W191" s="112">
        <f t="shared" si="100"/>
        <v>12790.27</v>
      </c>
      <c r="X191" s="158" t="str">
        <f t="shared" si="100"/>
        <v>0</v>
      </c>
      <c r="Y191" s="112">
        <f t="shared" si="107"/>
        <v>7231.0047250399994</v>
      </c>
      <c r="Z191" s="112"/>
      <c r="AA191" s="112"/>
      <c r="AB191" s="10"/>
      <c r="AC191" s="10">
        <f t="shared" si="108"/>
        <v>2978.1759986900001</v>
      </c>
      <c r="AD191" s="10">
        <f t="shared" si="109"/>
        <v>23.82827301</v>
      </c>
      <c r="AE191" s="10">
        <f t="shared" si="110"/>
        <v>2557.2610032600001</v>
      </c>
      <c r="AF191" s="4"/>
      <c r="AG191" s="112"/>
      <c r="AH191" s="112"/>
      <c r="AI191" s="10"/>
      <c r="AJ191" s="10"/>
      <c r="AK191" s="10"/>
      <c r="AL191" s="10"/>
      <c r="AM191" s="10">
        <f t="shared" si="78"/>
        <v>0</v>
      </c>
      <c r="AN191" s="9">
        <f t="shared" si="79"/>
        <v>0</v>
      </c>
      <c r="AO191" s="10">
        <f t="shared" si="80"/>
        <v>0</v>
      </c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140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9">
        <f t="shared" si="68"/>
        <v>12790.27</v>
      </c>
      <c r="BN191" s="9">
        <f t="shared" si="97"/>
        <v>9788.265728299999</v>
      </c>
      <c r="BO191" s="9">
        <f t="shared" si="85"/>
        <v>2978.1759986900001</v>
      </c>
      <c r="BP191" s="9">
        <f t="shared" si="86"/>
        <v>23.82827301</v>
      </c>
      <c r="BQ191" s="10">
        <f t="shared" si="87"/>
        <v>0</v>
      </c>
      <c r="BR191" s="9">
        <f t="shared" si="88"/>
        <v>12790.269999999999</v>
      </c>
      <c r="BS191" s="142">
        <f t="shared" si="98"/>
        <v>9788.265728299999</v>
      </c>
      <c r="BT191" s="83">
        <f t="shared" si="89"/>
        <v>9788</v>
      </c>
      <c r="BU191" s="175">
        <f t="shared" si="90"/>
        <v>9.557493412263433E-6</v>
      </c>
      <c r="BV191" s="173">
        <f t="shared" si="91"/>
        <v>2978.1759986900001</v>
      </c>
      <c r="BW191" s="176">
        <f t="shared" si="92"/>
        <v>1.7363739393053409E-5</v>
      </c>
      <c r="BX191" s="177">
        <f t="shared" si="93"/>
        <v>23.82827301</v>
      </c>
      <c r="BY191" s="178">
        <f t="shared" si="94"/>
        <v>2.4652115416842317E-5</v>
      </c>
      <c r="BZ191" s="4"/>
      <c r="CA191" s="4"/>
      <c r="CB191" s="4"/>
      <c r="CC191" s="4"/>
      <c r="CD191" s="4"/>
      <c r="CE191" s="4"/>
      <c r="CF191" s="4"/>
      <c r="CG191" s="126">
        <f t="shared" si="95"/>
        <v>7231.0373877000002</v>
      </c>
      <c r="CH191" s="126">
        <f t="shared" si="96"/>
        <v>2978.1826122999996</v>
      </c>
      <c r="CI191" s="126"/>
      <c r="CJ191" s="126"/>
      <c r="CK191" s="9"/>
      <c r="CL191" s="9"/>
      <c r="CM191" s="127"/>
      <c r="CN191" s="9"/>
      <c r="CO191" s="9"/>
      <c r="CP191" s="9"/>
      <c r="CQ191" s="126"/>
      <c r="CR191" s="126"/>
      <c r="CS191" s="126"/>
      <c r="CT191" s="126"/>
      <c r="CU191" s="126"/>
      <c r="CV191" s="9"/>
      <c r="CW191" s="9"/>
      <c r="CX191" s="127"/>
      <c r="CY191" s="70"/>
      <c r="CZ191" s="70"/>
    </row>
    <row r="192" spans="1:104" x14ac:dyDescent="0.35">
      <c r="A192" s="153">
        <v>318</v>
      </c>
      <c r="B192" s="122" t="s">
        <v>640</v>
      </c>
      <c r="C192" s="154">
        <v>8988602.1781408023</v>
      </c>
      <c r="D192" s="154">
        <v>906558.3</v>
      </c>
      <c r="E192" s="154">
        <v>248926.51</v>
      </c>
      <c r="F192" s="155">
        <f t="shared" si="69"/>
        <v>1155484.81</v>
      </c>
      <c r="G192" s="154">
        <v>1135754.99</v>
      </c>
      <c r="H192" s="154">
        <v>311859.93</v>
      </c>
      <c r="I192" s="155">
        <f t="shared" si="99"/>
        <v>1447614.92</v>
      </c>
      <c r="J192" s="154">
        <v>-3.94</v>
      </c>
      <c r="K192" s="154">
        <v>13.35</v>
      </c>
      <c r="L192" s="155">
        <f t="shared" si="70"/>
        <v>9.41</v>
      </c>
      <c r="M192" s="156">
        <v>0</v>
      </c>
      <c r="N192" s="156">
        <v>0</v>
      </c>
      <c r="O192" s="155">
        <f t="shared" si="71"/>
        <v>0</v>
      </c>
      <c r="P192" s="154">
        <v>0</v>
      </c>
      <c r="Q192" s="154">
        <v>0</v>
      </c>
      <c r="R192" s="157">
        <f t="shared" si="72"/>
        <v>0</v>
      </c>
      <c r="S192" s="123">
        <v>0</v>
      </c>
      <c r="T192" s="123">
        <v>0</v>
      </c>
      <c r="U192" s="156">
        <v>0</v>
      </c>
      <c r="V192" s="156">
        <v>0</v>
      </c>
      <c r="W192" s="112">
        <f t="shared" si="100"/>
        <v>1135754.99</v>
      </c>
      <c r="X192" s="112">
        <f t="shared" si="100"/>
        <v>311859.93</v>
      </c>
      <c r="Y192" s="112">
        <f t="shared" si="107"/>
        <v>837776.30888532999</v>
      </c>
      <c r="Z192" s="112"/>
      <c r="AA192" s="112"/>
      <c r="AB192" s="10"/>
      <c r="AC192" s="10">
        <f t="shared" si="108"/>
        <v>317708.47264375002</v>
      </c>
      <c r="AD192" s="10">
        <f t="shared" si="109"/>
        <v>2696.9065959600002</v>
      </c>
      <c r="AE192" s="10">
        <f t="shared" si="110"/>
        <v>289433.23187496001</v>
      </c>
      <c r="AF192" s="4"/>
      <c r="AG192" s="112"/>
      <c r="AH192" s="112"/>
      <c r="AI192" s="10"/>
      <c r="AJ192" s="10"/>
      <c r="AK192" s="10"/>
      <c r="AL192" s="10"/>
      <c r="AM192" s="10">
        <f t="shared" si="78"/>
        <v>0</v>
      </c>
      <c r="AN192" s="9">
        <f t="shared" si="79"/>
        <v>0</v>
      </c>
      <c r="AO192" s="10">
        <f t="shared" si="80"/>
        <v>0</v>
      </c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140">
        <v>103584.15</v>
      </c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9">
        <f t="shared" si="68"/>
        <v>1551199.07</v>
      </c>
      <c r="BN192" s="9">
        <f t="shared" si="97"/>
        <v>1230793.6907602898</v>
      </c>
      <c r="BO192" s="9">
        <f t="shared" si="85"/>
        <v>317708.47264375002</v>
      </c>
      <c r="BP192" s="9">
        <f t="shared" si="86"/>
        <v>2696.9065959600002</v>
      </c>
      <c r="BQ192" s="10">
        <f t="shared" si="87"/>
        <v>0</v>
      </c>
      <c r="BR192" s="9">
        <f t="shared" si="88"/>
        <v>1551199.0699999998</v>
      </c>
      <c r="BS192" s="142">
        <f t="shared" si="98"/>
        <v>1127209.5407602899</v>
      </c>
      <c r="BT192" s="83">
        <f t="shared" si="89"/>
        <v>1127210</v>
      </c>
      <c r="BU192" s="175">
        <f t="shared" si="90"/>
        <v>1.1006339691932371E-3</v>
      </c>
      <c r="BV192" s="173">
        <f t="shared" si="91"/>
        <v>317708.47264375002</v>
      </c>
      <c r="BW192" s="176">
        <f t="shared" si="92"/>
        <v>1.8523442282718297E-3</v>
      </c>
      <c r="BX192" s="177">
        <f t="shared" si="93"/>
        <v>2696.9065959600002</v>
      </c>
      <c r="BY192" s="178">
        <f t="shared" si="94"/>
        <v>2.7901498629022657E-3</v>
      </c>
      <c r="BZ192" s="4"/>
      <c r="CA192" s="4"/>
      <c r="CB192" s="4"/>
      <c r="CC192" s="4"/>
      <c r="CD192" s="4"/>
      <c r="CE192" s="4"/>
      <c r="CF192" s="4"/>
      <c r="CG192" s="126">
        <f t="shared" si="95"/>
        <v>818412.55865085009</v>
      </c>
      <c r="CH192" s="126">
        <f t="shared" si="96"/>
        <v>337072.25134914997</v>
      </c>
      <c r="CI192" s="126"/>
      <c r="CJ192" s="126"/>
      <c r="CK192" s="9"/>
      <c r="CL192" s="9"/>
      <c r="CM192" s="127"/>
      <c r="CN192" s="9"/>
      <c r="CO192" s="9"/>
      <c r="CP192" s="9"/>
      <c r="CQ192" s="126"/>
      <c r="CR192" s="126"/>
      <c r="CS192" s="126"/>
      <c r="CT192" s="126"/>
      <c r="CU192" s="126"/>
      <c r="CV192" s="9"/>
      <c r="CW192" s="9"/>
      <c r="CX192" s="127"/>
      <c r="CY192" s="70"/>
      <c r="CZ192" s="70"/>
    </row>
    <row r="193" spans="1:104" x14ac:dyDescent="0.35">
      <c r="A193" s="153">
        <v>320</v>
      </c>
      <c r="B193" s="122" t="s">
        <v>641</v>
      </c>
      <c r="C193" s="154">
        <v>2592888.681446908</v>
      </c>
      <c r="D193" s="154">
        <v>257508.17</v>
      </c>
      <c r="E193" s="154">
        <v>75807.67</v>
      </c>
      <c r="F193" s="155">
        <f t="shared" si="69"/>
        <v>333315.84000000003</v>
      </c>
      <c r="G193" s="154">
        <v>322611.84000000003</v>
      </c>
      <c r="H193" s="154">
        <v>94973.21</v>
      </c>
      <c r="I193" s="155">
        <f t="shared" si="99"/>
        <v>417585.05000000005</v>
      </c>
      <c r="J193" s="154">
        <v>0</v>
      </c>
      <c r="K193" s="154">
        <v>0</v>
      </c>
      <c r="L193" s="155">
        <f t="shared" si="70"/>
        <v>0</v>
      </c>
      <c r="M193" s="156">
        <v>0</v>
      </c>
      <c r="N193" s="156">
        <v>0</v>
      </c>
      <c r="O193" s="155">
        <f t="shared" si="71"/>
        <v>0</v>
      </c>
      <c r="P193" s="154">
        <v>0</v>
      </c>
      <c r="Q193" s="154">
        <v>0</v>
      </c>
      <c r="R193" s="157">
        <f t="shared" si="72"/>
        <v>0</v>
      </c>
      <c r="S193" s="123">
        <v>0</v>
      </c>
      <c r="T193" s="123">
        <v>0</v>
      </c>
      <c r="U193" s="156">
        <v>0</v>
      </c>
      <c r="V193" s="156">
        <v>0</v>
      </c>
      <c r="W193" s="112">
        <f t="shared" si="100"/>
        <v>322611.84000000003</v>
      </c>
      <c r="X193" s="112">
        <f t="shared" si="100"/>
        <v>94973.21</v>
      </c>
      <c r="Y193" s="112">
        <f t="shared" si="107"/>
        <v>241979.71471612999</v>
      </c>
      <c r="Z193" s="112"/>
      <c r="AA193" s="112"/>
      <c r="AB193" s="10"/>
      <c r="AC193" s="10">
        <f t="shared" si="108"/>
        <v>91336.254608820018</v>
      </c>
      <c r="AD193" s="10">
        <f t="shared" si="109"/>
        <v>777.96094815000004</v>
      </c>
      <c r="AE193" s="10">
        <f t="shared" si="110"/>
        <v>83491.119726900011</v>
      </c>
      <c r="AF193" s="4"/>
      <c r="AG193" s="112"/>
      <c r="AH193" s="112"/>
      <c r="AI193" s="10"/>
      <c r="AJ193" s="10"/>
      <c r="AK193" s="10"/>
      <c r="AL193" s="10"/>
      <c r="AM193" s="10">
        <f t="shared" si="78"/>
        <v>0</v>
      </c>
      <c r="AN193" s="9">
        <f t="shared" si="79"/>
        <v>0</v>
      </c>
      <c r="AO193" s="10">
        <f t="shared" si="80"/>
        <v>0</v>
      </c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140">
        <v>13153.68</v>
      </c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9">
        <f t="shared" si="68"/>
        <v>430738.73000000004</v>
      </c>
      <c r="BN193" s="9">
        <f t="shared" si="97"/>
        <v>338624.51444303</v>
      </c>
      <c r="BO193" s="9">
        <f t="shared" si="85"/>
        <v>91336.254608820018</v>
      </c>
      <c r="BP193" s="9">
        <f t="shared" si="86"/>
        <v>777.96094815000004</v>
      </c>
      <c r="BQ193" s="10">
        <f t="shared" si="87"/>
        <v>0</v>
      </c>
      <c r="BR193" s="9">
        <f t="shared" si="88"/>
        <v>430738.73000000004</v>
      </c>
      <c r="BS193" s="142">
        <f t="shared" si="98"/>
        <v>325470.83444303001</v>
      </c>
      <c r="BT193" s="83">
        <f t="shared" si="89"/>
        <v>325471</v>
      </c>
      <c r="BU193" s="175">
        <f t="shared" si="90"/>
        <v>3.1779739561825293E-4</v>
      </c>
      <c r="BV193" s="173">
        <f t="shared" si="91"/>
        <v>91336.254608820018</v>
      </c>
      <c r="BW193" s="176">
        <f t="shared" si="92"/>
        <v>5.3252021467593781E-4</v>
      </c>
      <c r="BX193" s="177">
        <f t="shared" si="93"/>
        <v>777.96094815000004</v>
      </c>
      <c r="BY193" s="178">
        <f t="shared" si="94"/>
        <v>8.0485829063404221E-4</v>
      </c>
      <c r="BZ193" s="4"/>
      <c r="CA193" s="4"/>
      <c r="CB193" s="4"/>
      <c r="CC193" s="4"/>
      <c r="CD193" s="4"/>
      <c r="CE193" s="4"/>
      <c r="CF193" s="4"/>
      <c r="CG193" s="126">
        <f t="shared" si="95"/>
        <v>236082.60973440003</v>
      </c>
      <c r="CH193" s="126">
        <f t="shared" si="96"/>
        <v>97233.230265599996</v>
      </c>
      <c r="CI193" s="126"/>
      <c r="CJ193" s="126"/>
      <c r="CK193" s="9"/>
      <c r="CL193" s="9"/>
      <c r="CM193" s="127"/>
      <c r="CN193" s="9"/>
      <c r="CO193" s="9"/>
      <c r="CP193" s="9"/>
      <c r="CQ193" s="126"/>
      <c r="CR193" s="126"/>
      <c r="CS193" s="126"/>
      <c r="CT193" s="126"/>
      <c r="CU193" s="126"/>
      <c r="CV193" s="9"/>
      <c r="CW193" s="9"/>
      <c r="CX193" s="127"/>
      <c r="CY193" s="70"/>
      <c r="CZ193" s="70"/>
    </row>
    <row r="194" spans="1:104" x14ac:dyDescent="0.35">
      <c r="A194" s="153">
        <v>330</v>
      </c>
      <c r="B194" s="122" t="s">
        <v>642</v>
      </c>
      <c r="C194" s="154">
        <v>3656508.8292493196</v>
      </c>
      <c r="D194" s="154">
        <v>397527.08</v>
      </c>
      <c r="E194" s="154">
        <v>72517.13</v>
      </c>
      <c r="F194" s="155">
        <f t="shared" si="69"/>
        <v>470044.21</v>
      </c>
      <c r="G194" s="154">
        <v>498031.29</v>
      </c>
      <c r="H194" s="154">
        <v>90851.1</v>
      </c>
      <c r="I194" s="155">
        <f t="shared" si="99"/>
        <v>588882.39</v>
      </c>
      <c r="J194" s="154">
        <v>0</v>
      </c>
      <c r="K194" s="154">
        <v>0</v>
      </c>
      <c r="L194" s="155">
        <f t="shared" si="70"/>
        <v>0</v>
      </c>
      <c r="M194" s="156">
        <v>0</v>
      </c>
      <c r="N194" s="156">
        <v>0</v>
      </c>
      <c r="O194" s="155">
        <f t="shared" si="71"/>
        <v>0</v>
      </c>
      <c r="P194" s="154">
        <v>0</v>
      </c>
      <c r="Q194" s="154">
        <v>0</v>
      </c>
      <c r="R194" s="157">
        <f t="shared" si="72"/>
        <v>0</v>
      </c>
      <c r="S194" s="123">
        <v>0</v>
      </c>
      <c r="T194" s="123">
        <v>0</v>
      </c>
      <c r="U194" s="156">
        <v>0</v>
      </c>
      <c r="V194" s="156">
        <v>0</v>
      </c>
      <c r="W194" s="112">
        <f t="shared" si="100"/>
        <v>498031.29</v>
      </c>
      <c r="X194" s="112">
        <f t="shared" si="100"/>
        <v>90851.1</v>
      </c>
      <c r="Y194" s="112">
        <f t="shared" si="107"/>
        <v>338567.05430357996</v>
      </c>
      <c r="Z194" s="112"/>
      <c r="AA194" s="112"/>
      <c r="AB194" s="10"/>
      <c r="AC194" s="10">
        <f t="shared" si="108"/>
        <v>131478.28051203</v>
      </c>
      <c r="AD194" s="10">
        <f t="shared" si="109"/>
        <v>1097.0878925700001</v>
      </c>
      <c r="AE194" s="10">
        <f t="shared" si="110"/>
        <v>117739.96729182001</v>
      </c>
      <c r="AF194" s="4"/>
      <c r="AG194" s="112"/>
      <c r="AH194" s="112"/>
      <c r="AI194" s="10"/>
      <c r="AJ194" s="10"/>
      <c r="AK194" s="10"/>
      <c r="AL194" s="10"/>
      <c r="AM194" s="10">
        <f t="shared" si="78"/>
        <v>0</v>
      </c>
      <c r="AN194" s="9">
        <f t="shared" si="79"/>
        <v>0</v>
      </c>
      <c r="AO194" s="10">
        <f t="shared" si="80"/>
        <v>0</v>
      </c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140">
        <v>29910.23</v>
      </c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9">
        <f t="shared" si="68"/>
        <v>618792.62</v>
      </c>
      <c r="BN194" s="9">
        <f t="shared" si="97"/>
        <v>486217.25159539992</v>
      </c>
      <c r="BO194" s="9">
        <f t="shared" si="85"/>
        <v>131478.28051203</v>
      </c>
      <c r="BP194" s="9">
        <f t="shared" si="86"/>
        <v>1097.0878925700001</v>
      </c>
      <c r="BQ194" s="10">
        <f t="shared" si="87"/>
        <v>0</v>
      </c>
      <c r="BR194" s="9">
        <f t="shared" si="88"/>
        <v>618792.61999999988</v>
      </c>
      <c r="BS194" s="142">
        <f t="shared" si="98"/>
        <v>456307.02159539994</v>
      </c>
      <c r="BT194" s="83">
        <f t="shared" si="89"/>
        <v>456307</v>
      </c>
      <c r="BU194" s="175">
        <f t="shared" si="90"/>
        <v>4.4554893317398897E-4</v>
      </c>
      <c r="BV194" s="173">
        <f t="shared" si="91"/>
        <v>131478.28051203</v>
      </c>
      <c r="BW194" s="176">
        <f t="shared" si="92"/>
        <v>7.6656134481704809E-4</v>
      </c>
      <c r="BX194" s="177">
        <f t="shared" si="93"/>
        <v>1097.0878925700001</v>
      </c>
      <c r="BY194" s="178">
        <f t="shared" si="94"/>
        <v>1.1350187795274027E-3</v>
      </c>
      <c r="BZ194" s="4"/>
      <c r="CA194" s="4"/>
      <c r="CB194" s="4"/>
      <c r="CC194" s="4"/>
      <c r="CD194" s="4"/>
      <c r="CE194" s="4"/>
      <c r="CF194" s="4"/>
      <c r="CG194" s="126">
        <f t="shared" si="95"/>
        <v>332925.26327985001</v>
      </c>
      <c r="CH194" s="126">
        <f t="shared" si="96"/>
        <v>137118.94672015001</v>
      </c>
      <c r="CI194" s="126"/>
      <c r="CJ194" s="126"/>
      <c r="CK194" s="9"/>
      <c r="CL194" s="9"/>
      <c r="CM194" s="127"/>
      <c r="CN194" s="9"/>
      <c r="CO194" s="9"/>
      <c r="CP194" s="9"/>
      <c r="CQ194" s="126"/>
      <c r="CR194" s="126"/>
      <c r="CS194" s="126"/>
      <c r="CT194" s="126"/>
      <c r="CU194" s="126"/>
      <c r="CV194" s="9"/>
      <c r="CW194" s="9"/>
      <c r="CX194" s="127"/>
      <c r="CY194" s="70"/>
      <c r="CZ194" s="70"/>
    </row>
    <row r="195" spans="1:104" x14ac:dyDescent="0.35">
      <c r="A195" s="153">
        <v>345</v>
      </c>
      <c r="B195" s="122" t="s">
        <v>643</v>
      </c>
      <c r="C195" s="154">
        <v>14563947.257876312</v>
      </c>
      <c r="D195" s="154">
        <v>1302474.44</v>
      </c>
      <c r="E195" s="154">
        <v>569720.98</v>
      </c>
      <c r="F195" s="155">
        <f t="shared" si="69"/>
        <v>1872195.42</v>
      </c>
      <c r="G195" s="154">
        <v>1631768.33</v>
      </c>
      <c r="H195" s="154">
        <v>713759.35</v>
      </c>
      <c r="I195" s="155">
        <f t="shared" si="99"/>
        <v>2345527.6800000002</v>
      </c>
      <c r="J195" s="154">
        <v>-4.16</v>
      </c>
      <c r="K195" s="154">
        <v>0</v>
      </c>
      <c r="L195" s="155">
        <f t="shared" si="70"/>
        <v>-4.16</v>
      </c>
      <c r="M195" s="156">
        <v>0</v>
      </c>
      <c r="N195" s="156">
        <v>0</v>
      </c>
      <c r="O195" s="155">
        <f t="shared" si="71"/>
        <v>0</v>
      </c>
      <c r="P195" s="154">
        <v>0</v>
      </c>
      <c r="Q195" s="154">
        <v>0</v>
      </c>
      <c r="R195" s="157">
        <f t="shared" si="72"/>
        <v>0</v>
      </c>
      <c r="S195" s="123">
        <v>0</v>
      </c>
      <c r="T195" s="123">
        <v>0</v>
      </c>
      <c r="U195" s="156">
        <v>0</v>
      </c>
      <c r="V195" s="156">
        <v>0</v>
      </c>
      <c r="W195" s="112">
        <f t="shared" si="100"/>
        <v>1631768.33</v>
      </c>
      <c r="X195" s="112">
        <f t="shared" si="100"/>
        <v>713759.35</v>
      </c>
      <c r="Y195" s="112">
        <f t="shared" si="107"/>
        <v>1370368.22426291</v>
      </c>
      <c r="Z195" s="112"/>
      <c r="AA195" s="112"/>
      <c r="AB195" s="10"/>
      <c r="AC195" s="10">
        <f t="shared" si="108"/>
        <v>501829.62438540999</v>
      </c>
      <c r="AD195" s="10">
        <f t="shared" si="109"/>
        <v>4369.71806784</v>
      </c>
      <c r="AE195" s="10">
        <f t="shared" si="110"/>
        <v>468960.11328384001</v>
      </c>
      <c r="AF195" s="4"/>
      <c r="AG195" s="112"/>
      <c r="AH195" s="112"/>
      <c r="AI195" s="10"/>
      <c r="AJ195" s="10"/>
      <c r="AK195" s="10"/>
      <c r="AL195" s="10"/>
      <c r="AM195" s="10">
        <f t="shared" si="78"/>
        <v>0</v>
      </c>
      <c r="AN195" s="9">
        <f t="shared" si="79"/>
        <v>0</v>
      </c>
      <c r="AO195" s="10">
        <f t="shared" si="80"/>
        <v>0</v>
      </c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140">
        <v>84558.61</v>
      </c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9">
        <f t="shared" si="68"/>
        <v>2430086.2899999996</v>
      </c>
      <c r="BN195" s="9">
        <f t="shared" si="97"/>
        <v>1923886.9475467501</v>
      </c>
      <c r="BO195" s="9">
        <f t="shared" si="85"/>
        <v>501829.62438540999</v>
      </c>
      <c r="BP195" s="9">
        <f t="shared" si="86"/>
        <v>4369.71806784</v>
      </c>
      <c r="BQ195" s="10">
        <f t="shared" si="87"/>
        <v>0</v>
      </c>
      <c r="BR195" s="9">
        <f t="shared" si="88"/>
        <v>2430086.2900000005</v>
      </c>
      <c r="BS195" s="142">
        <f t="shared" si="98"/>
        <v>1839328.33754675</v>
      </c>
      <c r="BT195" s="83">
        <f t="shared" si="89"/>
        <v>1839328</v>
      </c>
      <c r="BU195" s="175">
        <f t="shared" si="90"/>
        <v>1.795963550342401E-3</v>
      </c>
      <c r="BV195" s="173">
        <f t="shared" si="91"/>
        <v>501829.62438540999</v>
      </c>
      <c r="BW195" s="176">
        <f t="shared" si="92"/>
        <v>2.9258307169807889E-3</v>
      </c>
      <c r="BX195" s="177">
        <f t="shared" si="93"/>
        <v>4369.71806784</v>
      </c>
      <c r="BY195" s="178">
        <f t="shared" si="94"/>
        <v>4.5207973780661704E-3</v>
      </c>
      <c r="BZ195" s="4"/>
      <c r="CA195" s="4"/>
      <c r="CB195" s="4"/>
      <c r="CC195" s="4"/>
      <c r="CD195" s="4"/>
      <c r="CE195" s="4"/>
      <c r="CF195" s="4"/>
      <c r="CG195" s="126">
        <f t="shared" si="95"/>
        <v>1326047.9330547</v>
      </c>
      <c r="CH195" s="126">
        <f t="shared" si="96"/>
        <v>546147.48694530001</v>
      </c>
      <c r="CI195" s="126"/>
      <c r="CJ195" s="126"/>
      <c r="CK195" s="9"/>
      <c r="CL195" s="9"/>
      <c r="CM195" s="127"/>
      <c r="CN195" s="9"/>
      <c r="CO195" s="9"/>
      <c r="CP195" s="9"/>
      <c r="CQ195" s="126"/>
      <c r="CR195" s="126"/>
      <c r="CS195" s="126"/>
      <c r="CT195" s="126"/>
      <c r="CU195" s="126"/>
      <c r="CV195" s="9"/>
      <c r="CW195" s="9"/>
      <c r="CX195" s="127"/>
      <c r="CY195" s="70"/>
      <c r="CZ195" s="70"/>
    </row>
    <row r="196" spans="1:104" x14ac:dyDescent="0.35">
      <c r="A196" s="153">
        <v>400</v>
      </c>
      <c r="B196" s="122" t="s">
        <v>644</v>
      </c>
      <c r="C196" s="154">
        <v>17715105.562038116</v>
      </c>
      <c r="D196" s="154">
        <v>2277276.8199999998</v>
      </c>
      <c r="E196" s="154" t="s">
        <v>665</v>
      </c>
      <c r="F196" s="155">
        <f t="shared" si="69"/>
        <v>2277276.8199999998</v>
      </c>
      <c r="G196" s="154">
        <v>2853017.5</v>
      </c>
      <c r="H196" s="154" t="s">
        <v>665</v>
      </c>
      <c r="I196" s="155">
        <f t="shared" si="99"/>
        <v>2853017.5</v>
      </c>
      <c r="J196" s="154">
        <v>-0.28999999999999998</v>
      </c>
      <c r="K196" s="154" t="s">
        <v>665</v>
      </c>
      <c r="L196" s="155">
        <f t="shared" si="70"/>
        <v>-0.28999999999999998</v>
      </c>
      <c r="M196" s="156">
        <v>0</v>
      </c>
      <c r="N196" s="156" t="s">
        <v>665</v>
      </c>
      <c r="O196" s="155">
        <f t="shared" si="71"/>
        <v>0</v>
      </c>
      <c r="P196" s="154">
        <v>0</v>
      </c>
      <c r="Q196" s="154" t="s">
        <v>665</v>
      </c>
      <c r="R196" s="157">
        <f t="shared" si="72"/>
        <v>0</v>
      </c>
      <c r="S196" s="123">
        <v>0</v>
      </c>
      <c r="T196" s="123">
        <v>0</v>
      </c>
      <c r="U196" s="156">
        <v>0</v>
      </c>
      <c r="V196" s="156">
        <v>0</v>
      </c>
      <c r="W196" s="112">
        <f t="shared" si="100"/>
        <v>2853017.5</v>
      </c>
      <c r="X196" s="112" t="str">
        <f t="shared" si="100"/>
        <v>0</v>
      </c>
      <c r="Y196" s="112">
        <f t="shared" si="107"/>
        <v>1612959.1496599999</v>
      </c>
      <c r="Z196" s="112"/>
      <c r="AA196" s="112"/>
      <c r="AB196" s="10"/>
      <c r="AC196" s="10">
        <f t="shared" si="108"/>
        <v>664316.56582250004</v>
      </c>
      <c r="AD196" s="10">
        <f t="shared" si="109"/>
        <v>5315.1716025000005</v>
      </c>
      <c r="AE196" s="10">
        <f t="shared" si="110"/>
        <v>570426.61291500006</v>
      </c>
      <c r="AF196" s="4"/>
      <c r="AG196" s="112"/>
      <c r="AH196" s="112"/>
      <c r="AI196" s="10"/>
      <c r="AJ196" s="10"/>
      <c r="AK196" s="10"/>
      <c r="AL196" s="10"/>
      <c r="AM196" s="10">
        <f t="shared" si="78"/>
        <v>0</v>
      </c>
      <c r="AN196" s="9">
        <f t="shared" si="79"/>
        <v>0</v>
      </c>
      <c r="AO196" s="10">
        <f t="shared" si="80"/>
        <v>0</v>
      </c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140">
        <v>284936.62</v>
      </c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9">
        <f t="shared" ref="BM196:BM214" si="111">SUM(Y196:AF196)+SUM(AI196:BL196)</f>
        <v>3137954.12</v>
      </c>
      <c r="BN196" s="9">
        <f t="shared" si="97"/>
        <v>2468322.3825750002</v>
      </c>
      <c r="BO196" s="9">
        <f t="shared" si="85"/>
        <v>664316.56582250004</v>
      </c>
      <c r="BP196" s="9">
        <f t="shared" si="86"/>
        <v>5315.1716025000005</v>
      </c>
      <c r="BQ196" s="10">
        <f t="shared" si="87"/>
        <v>0</v>
      </c>
      <c r="BR196" s="9">
        <f t="shared" si="88"/>
        <v>3137954.1200000006</v>
      </c>
      <c r="BS196" s="142">
        <f t="shared" si="98"/>
        <v>2183385.7625750001</v>
      </c>
      <c r="BT196" s="83">
        <f t="shared" si="89"/>
        <v>2183386</v>
      </c>
      <c r="BU196" s="175">
        <f t="shared" si="90"/>
        <v>2.1319093311808345E-3</v>
      </c>
      <c r="BV196" s="173">
        <f t="shared" si="91"/>
        <v>664316.56582250004</v>
      </c>
      <c r="BW196" s="176">
        <f t="shared" si="92"/>
        <v>3.8731826891708118E-3</v>
      </c>
      <c r="BX196" s="177">
        <f t="shared" si="93"/>
        <v>5315.1716025000005</v>
      </c>
      <c r="BY196" s="178">
        <f t="shared" si="94"/>
        <v>5.4989391698745168E-3</v>
      </c>
      <c r="BZ196" s="4"/>
      <c r="CA196" s="4"/>
      <c r="CB196" s="4"/>
      <c r="CC196" s="4"/>
      <c r="CD196" s="4"/>
      <c r="CE196" s="4"/>
      <c r="CF196" s="4"/>
      <c r="CG196" s="126">
        <f t="shared" si="95"/>
        <v>1612961.0124537</v>
      </c>
      <c r="CH196" s="126">
        <f t="shared" si="96"/>
        <v>664315.8075463</v>
      </c>
      <c r="CI196" s="126"/>
      <c r="CJ196" s="126"/>
      <c r="CK196" s="9"/>
      <c r="CL196" s="9"/>
      <c r="CM196" s="127"/>
      <c r="CN196" s="9"/>
      <c r="CO196" s="9"/>
      <c r="CP196" s="9"/>
      <c r="CQ196" s="126"/>
      <c r="CR196" s="126"/>
      <c r="CS196" s="126"/>
      <c r="CT196" s="126"/>
      <c r="CU196" s="126"/>
      <c r="CV196" s="9"/>
      <c r="CW196" s="9"/>
      <c r="CX196" s="127"/>
      <c r="CY196" s="70"/>
      <c r="CZ196" s="71"/>
    </row>
    <row r="197" spans="1:104" x14ac:dyDescent="0.35">
      <c r="A197" s="148">
        <v>500</v>
      </c>
      <c r="B197" s="119" t="s">
        <v>644</v>
      </c>
      <c r="C197" s="149">
        <v>17897184.239462432</v>
      </c>
      <c r="D197" s="149">
        <v>878356.86</v>
      </c>
      <c r="E197" s="149">
        <v>586527.67000000004</v>
      </c>
      <c r="F197" s="150">
        <f t="shared" si="69"/>
        <v>1464884.53</v>
      </c>
      <c r="G197" s="149">
        <v>1702520.92</v>
      </c>
      <c r="H197" s="149">
        <v>1136867.7</v>
      </c>
      <c r="I197" s="150">
        <f t="shared" si="99"/>
        <v>2839388.62</v>
      </c>
      <c r="J197" s="149">
        <v>-0.1</v>
      </c>
      <c r="K197" s="149">
        <v>-0.14000000000000001</v>
      </c>
      <c r="L197" s="150">
        <f t="shared" si="70"/>
        <v>-0.24000000000000002</v>
      </c>
      <c r="M197" s="151">
        <v>0</v>
      </c>
      <c r="N197" s="151">
        <v>0</v>
      </c>
      <c r="O197" s="150">
        <f t="shared" si="71"/>
        <v>0</v>
      </c>
      <c r="P197" s="149">
        <v>0</v>
      </c>
      <c r="Q197" s="149">
        <v>0</v>
      </c>
      <c r="R197" s="152">
        <f t="shared" si="72"/>
        <v>0</v>
      </c>
      <c r="S197" s="120">
        <v>0</v>
      </c>
      <c r="T197" s="120">
        <v>0</v>
      </c>
      <c r="U197" s="151">
        <v>84344.93</v>
      </c>
      <c r="V197" s="151">
        <v>0</v>
      </c>
      <c r="W197" s="112">
        <f t="shared" si="100"/>
        <v>1702520.92</v>
      </c>
      <c r="X197" s="112">
        <f t="shared" si="100"/>
        <v>1136867.7</v>
      </c>
      <c r="Y197" s="121">
        <f>(W197*0.341002)+(X197*0.404034)</f>
        <v>1039896.24306364</v>
      </c>
      <c r="Z197" s="121">
        <f>(W197*0.139616)+(X197*0.139616)</f>
        <v>396424.08156991994</v>
      </c>
      <c r="AA197" s="121">
        <f>(W197*0.139616)+(X197*0.139616)</f>
        <v>396424.08156991994</v>
      </c>
      <c r="AB197" s="10">
        <f t="shared" si="104"/>
        <v>424988.07369136001</v>
      </c>
      <c r="AC197" s="10"/>
      <c r="AD197" s="10">
        <f>(W197*0.001892)+(X197*0.001891)</f>
        <v>5370.9864013400002</v>
      </c>
      <c r="AE197" s="10">
        <f t="shared" ref="AE197" si="112">(W197*0.202962)+(X197*0.202962)</f>
        <v>576287.99309243995</v>
      </c>
      <c r="AF197" s="4"/>
      <c r="AG197" s="112"/>
      <c r="AH197" s="112"/>
      <c r="AI197" s="10"/>
      <c r="AJ197" s="10"/>
      <c r="AK197" s="10"/>
      <c r="AL197" s="10"/>
      <c r="AM197" s="10">
        <f t="shared" si="78"/>
        <v>0</v>
      </c>
      <c r="AN197" s="9">
        <f t="shared" si="79"/>
        <v>84344.93</v>
      </c>
      <c r="AO197" s="10">
        <f t="shared" si="80"/>
        <v>0</v>
      </c>
      <c r="AP197" s="4"/>
      <c r="AQ197" s="4"/>
      <c r="AR197" s="4"/>
      <c r="AS197" s="4"/>
      <c r="AT197" s="9"/>
      <c r="AU197" s="4"/>
      <c r="AV197" s="4"/>
      <c r="AW197" s="4"/>
      <c r="AX197" s="4"/>
      <c r="AY197" s="4"/>
      <c r="AZ197" s="4"/>
      <c r="BA197" s="140">
        <v>11844.24</v>
      </c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9">
        <f t="shared" si="111"/>
        <v>2935580.6293886201</v>
      </c>
      <c r="BN197" s="9">
        <f t="shared" si="97"/>
        <v>2505221.5692959195</v>
      </c>
      <c r="BO197" s="9">
        <f t="shared" si="85"/>
        <v>424988.07369136001</v>
      </c>
      <c r="BP197" s="9">
        <f t="shared" si="86"/>
        <v>5370.9864013400002</v>
      </c>
      <c r="BQ197" s="10">
        <f t="shared" si="87"/>
        <v>0</v>
      </c>
      <c r="BR197" s="9">
        <f t="shared" si="88"/>
        <v>2935580.6293886197</v>
      </c>
      <c r="BS197" s="142">
        <f t="shared" si="98"/>
        <v>2409032.39929592</v>
      </c>
      <c r="BT197" s="83">
        <f t="shared" si="89"/>
        <v>2409032</v>
      </c>
      <c r="BU197" s="175">
        <f t="shared" si="90"/>
        <v>2.3522360268205277E-3</v>
      </c>
      <c r="BV197" s="173">
        <f t="shared" si="91"/>
        <v>424988.07369136001</v>
      </c>
      <c r="BW197" s="176">
        <f t="shared" si="92"/>
        <v>2.477819363254051E-3</v>
      </c>
      <c r="BX197" s="177">
        <f t="shared" si="93"/>
        <v>5370.9864013400002</v>
      </c>
      <c r="BY197" s="178">
        <f t="shared" si="94"/>
        <v>5.5566837182265544E-3</v>
      </c>
      <c r="BZ197" s="4"/>
      <c r="CA197" s="4"/>
      <c r="CB197" s="4"/>
      <c r="CC197" s="4"/>
      <c r="CD197" s="4"/>
      <c r="CE197" s="4"/>
      <c r="CF197" s="4"/>
      <c r="CG197" s="126">
        <f t="shared" si="95"/>
        <v>1037555.7393310501</v>
      </c>
      <c r="CH197" s="126">
        <f t="shared" si="96"/>
        <v>427328.79066895001</v>
      </c>
      <c r="CI197" s="126"/>
      <c r="CJ197" s="126"/>
      <c r="CK197" s="9"/>
      <c r="CL197" s="9"/>
      <c r="CM197" s="179"/>
      <c r="CN197" s="9"/>
      <c r="CO197" s="9"/>
      <c r="CP197" s="9"/>
      <c r="CQ197" s="126"/>
      <c r="CR197" s="126"/>
      <c r="CS197" s="126"/>
      <c r="CT197" s="126"/>
      <c r="CU197" s="126"/>
      <c r="CV197" s="9"/>
      <c r="CW197" s="9"/>
      <c r="CX197" s="127"/>
      <c r="CY197" s="69"/>
      <c r="CZ197" s="69"/>
    </row>
    <row r="198" spans="1:104" x14ac:dyDescent="0.35">
      <c r="A198" s="153">
        <v>700</v>
      </c>
      <c r="B198" s="122" t="s">
        <v>645</v>
      </c>
      <c r="C198" s="154">
        <v>5548797.4329054849</v>
      </c>
      <c r="D198" s="154">
        <v>465868.1</v>
      </c>
      <c r="E198" s="154">
        <v>247429.81</v>
      </c>
      <c r="F198" s="155">
        <f t="shared" si="69"/>
        <v>713297.90999999992</v>
      </c>
      <c r="G198" s="154">
        <v>583648.88</v>
      </c>
      <c r="H198" s="154">
        <v>309985.65000000002</v>
      </c>
      <c r="I198" s="155">
        <f t="shared" si="99"/>
        <v>893634.53</v>
      </c>
      <c r="J198" s="154">
        <v>-0.01</v>
      </c>
      <c r="K198" s="154">
        <v>-62.5</v>
      </c>
      <c r="L198" s="155">
        <f t="shared" si="70"/>
        <v>-62.51</v>
      </c>
      <c r="M198" s="156">
        <v>0</v>
      </c>
      <c r="N198" s="156">
        <v>0</v>
      </c>
      <c r="O198" s="155">
        <f t="shared" si="71"/>
        <v>0</v>
      </c>
      <c r="P198" s="154">
        <v>0</v>
      </c>
      <c r="Q198" s="154">
        <v>0</v>
      </c>
      <c r="R198" s="157">
        <f t="shared" si="72"/>
        <v>0</v>
      </c>
      <c r="S198" s="123">
        <v>0</v>
      </c>
      <c r="T198" s="123">
        <v>0</v>
      </c>
      <c r="U198" s="156">
        <v>0</v>
      </c>
      <c r="V198" s="156">
        <v>0</v>
      </c>
      <c r="W198" s="112">
        <f t="shared" si="100"/>
        <v>583648.88</v>
      </c>
      <c r="X198" s="112">
        <f t="shared" si="100"/>
        <v>309985.65000000002</v>
      </c>
      <c r="Y198" s="112">
        <f t="shared" si="107"/>
        <v>524466.00777001004</v>
      </c>
      <c r="Z198" s="112"/>
      <c r="AA198" s="112"/>
      <c r="AB198" s="10"/>
      <c r="AC198" s="10">
        <f t="shared" ref="AC198:AC204" si="113">(W198*0.232847)+(X198*0.170754)</f>
        <v>188832.18044145999</v>
      </c>
      <c r="AD198" s="10">
        <f t="shared" si="109"/>
        <v>1664.8411293900001</v>
      </c>
      <c r="AE198" s="10">
        <f t="shared" si="110"/>
        <v>178671.50065914</v>
      </c>
      <c r="AF198" s="4"/>
      <c r="AG198" s="112"/>
      <c r="AH198" s="112"/>
      <c r="AI198" s="10"/>
      <c r="AJ198" s="10"/>
      <c r="AK198" s="10"/>
      <c r="AL198" s="10"/>
      <c r="AM198" s="10">
        <f t="shared" si="78"/>
        <v>0</v>
      </c>
      <c r="AN198" s="9">
        <f t="shared" si="79"/>
        <v>0</v>
      </c>
      <c r="AO198" s="10">
        <f t="shared" si="80"/>
        <v>0</v>
      </c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140">
        <v>14425.47</v>
      </c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9">
        <f t="shared" si="111"/>
        <v>908060</v>
      </c>
      <c r="BN198" s="9">
        <f t="shared" si="97"/>
        <v>717562.97842915007</v>
      </c>
      <c r="BO198" s="9">
        <f t="shared" si="85"/>
        <v>188832.18044145999</v>
      </c>
      <c r="BP198" s="9">
        <f t="shared" si="86"/>
        <v>1664.8411293900001</v>
      </c>
      <c r="BQ198" s="10">
        <f t="shared" si="87"/>
        <v>0</v>
      </c>
      <c r="BR198" s="9">
        <f t="shared" si="88"/>
        <v>908060.00000000012</v>
      </c>
      <c r="BS198" s="142">
        <v>0</v>
      </c>
      <c r="BT198" s="83">
        <f t="shared" si="89"/>
        <v>0</v>
      </c>
      <c r="BU198" s="175">
        <f t="shared" si="90"/>
        <v>0</v>
      </c>
      <c r="BV198" s="173">
        <f t="shared" si="91"/>
        <v>188832.18044145999</v>
      </c>
      <c r="BW198" s="176">
        <f t="shared" si="92"/>
        <v>1.1009533256764535E-3</v>
      </c>
      <c r="BX198" s="177">
        <f t="shared" si="93"/>
        <v>1664.8411293900001</v>
      </c>
      <c r="BY198" s="178">
        <f t="shared" si="94"/>
        <v>1.7224016048164455E-3</v>
      </c>
      <c r="BZ198" s="4"/>
      <c r="CA198" s="4"/>
      <c r="CB198" s="4"/>
      <c r="CC198" s="4"/>
      <c r="CD198" s="4"/>
      <c r="CE198" s="4"/>
      <c r="CF198" s="4"/>
      <c r="CG198" s="126">
        <f t="shared" si="95"/>
        <v>505218.21018435003</v>
      </c>
      <c r="CH198" s="126">
        <f t="shared" si="96"/>
        <v>208079.69981565</v>
      </c>
      <c r="CI198" s="126"/>
      <c r="CJ198" s="126"/>
      <c r="CK198" s="9"/>
      <c r="CL198" s="9"/>
      <c r="CM198" s="127"/>
      <c r="CN198" s="9"/>
      <c r="CO198" s="9"/>
      <c r="CP198" s="9"/>
      <c r="CQ198" s="126"/>
      <c r="CR198" s="126"/>
      <c r="CS198" s="126"/>
      <c r="CT198" s="126"/>
      <c r="CU198" s="126"/>
      <c r="CV198" s="9"/>
      <c r="CW198" s="9"/>
      <c r="CX198" s="127"/>
    </row>
    <row r="199" spans="1:104" x14ac:dyDescent="0.35">
      <c r="A199" s="153">
        <v>728</v>
      </c>
      <c r="B199" s="122" t="s">
        <v>646</v>
      </c>
      <c r="C199" s="154">
        <v>73282.847141190199</v>
      </c>
      <c r="D199" s="154">
        <v>7735.47</v>
      </c>
      <c r="E199" s="154">
        <v>1685.04</v>
      </c>
      <c r="F199" s="155">
        <f t="shared" ref="F199:F213" si="114">D199+E199</f>
        <v>9420.51</v>
      </c>
      <c r="G199" s="154">
        <v>9691.01</v>
      </c>
      <c r="H199" s="154">
        <v>2111.09</v>
      </c>
      <c r="I199" s="155">
        <f t="shared" si="99"/>
        <v>11802.1</v>
      </c>
      <c r="J199" s="154">
        <v>0</v>
      </c>
      <c r="K199" s="154">
        <v>0</v>
      </c>
      <c r="L199" s="155">
        <f t="shared" ref="L199:L213" si="115">J199+K199</f>
        <v>0</v>
      </c>
      <c r="M199" s="156">
        <v>0</v>
      </c>
      <c r="N199" s="156">
        <v>0</v>
      </c>
      <c r="O199" s="155">
        <f t="shared" ref="O199:O213" si="116">M199+N199</f>
        <v>0</v>
      </c>
      <c r="P199" s="154">
        <v>0</v>
      </c>
      <c r="Q199" s="154">
        <v>0</v>
      </c>
      <c r="R199" s="157">
        <f t="shared" ref="R199:R213" si="117">P199+Q199</f>
        <v>0</v>
      </c>
      <c r="S199" s="123">
        <v>0</v>
      </c>
      <c r="T199" s="123">
        <v>0</v>
      </c>
      <c r="U199" s="156">
        <v>0</v>
      </c>
      <c r="V199" s="156">
        <v>0</v>
      </c>
      <c r="W199" s="112">
        <f t="shared" si="100"/>
        <v>9691.01</v>
      </c>
      <c r="X199" s="112">
        <f t="shared" si="100"/>
        <v>2111.09</v>
      </c>
      <c r="Y199" s="112">
        <f t="shared" si="107"/>
        <v>6803.4247505699996</v>
      </c>
      <c r="Z199" s="112"/>
      <c r="AA199" s="112"/>
      <c r="AB199" s="10"/>
      <c r="AC199" s="10">
        <f t="shared" si="113"/>
        <v>2616.9996673300002</v>
      </c>
      <c r="AD199" s="10">
        <f t="shared" si="109"/>
        <v>21.987312300000003</v>
      </c>
      <c r="AE199" s="10">
        <f t="shared" si="110"/>
        <v>2359.6882697999999</v>
      </c>
      <c r="AF199" s="4"/>
      <c r="AG199" s="112"/>
      <c r="AH199" s="112"/>
      <c r="AI199" s="10"/>
      <c r="AJ199" s="10"/>
      <c r="AK199" s="10"/>
      <c r="AL199" s="10"/>
      <c r="AM199" s="10">
        <f t="shared" ref="AM199:AM213" si="118">S199</f>
        <v>0</v>
      </c>
      <c r="AN199" s="9">
        <f t="shared" ref="AN199:AN213" si="119">U199</f>
        <v>0</v>
      </c>
      <c r="AO199" s="10">
        <f t="shared" ref="AO199:AO213" si="120">T199</f>
        <v>0</v>
      </c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9">
        <f t="shared" si="111"/>
        <v>11802.099999999999</v>
      </c>
      <c r="BN199" s="9">
        <f t="shared" si="97"/>
        <v>9163.1130203699995</v>
      </c>
      <c r="BO199" s="9">
        <f t="shared" ref="BO199:BO214" si="121">AB199+AC199+AF199+AJ199+AS199+AX199+BD199+BL199</f>
        <v>2616.9996673300002</v>
      </c>
      <c r="BP199" s="9">
        <f t="shared" ref="BP199:BP214" si="122">AD199+AK199+AR199+BH199+BJ199</f>
        <v>21.987312300000003</v>
      </c>
      <c r="BQ199" s="10">
        <f t="shared" ref="BQ199:BQ214" si="123">BK199</f>
        <v>0</v>
      </c>
      <c r="BR199" s="9">
        <f t="shared" ref="BR199:BR214" si="124">SUM(BN199:BQ199)</f>
        <v>11802.099999999999</v>
      </c>
      <c r="BS199" s="142">
        <f t="shared" si="98"/>
        <v>9163.1130203699995</v>
      </c>
      <c r="BT199" s="83">
        <f t="shared" ref="BT199:BT214" si="125">ROUND(BS199,0)</f>
        <v>9163</v>
      </c>
      <c r="BU199" s="175">
        <f t="shared" ref="BU199:BU214" si="126">BS199/$BS$5</f>
        <v>8.9470795704707136E-6</v>
      </c>
      <c r="BV199" s="173">
        <f t="shared" ref="BV199:BV213" si="127">AB199+AC199+AF199+AX199</f>
        <v>2616.9996673300002</v>
      </c>
      <c r="BW199" s="176">
        <f t="shared" ref="BW199:BW214" si="128">BV199/$BV$5</f>
        <v>1.5257963342399349E-5</v>
      </c>
      <c r="BX199" s="177">
        <f t="shared" ref="BX199:BX213" si="129">AD199</f>
        <v>21.987312300000003</v>
      </c>
      <c r="BY199" s="178">
        <f t="shared" ref="BY199:BY214" si="130">BX199/$BX$5</f>
        <v>2.27475050457195E-5</v>
      </c>
      <c r="BZ199" s="4"/>
      <c r="CA199" s="4"/>
      <c r="CB199" s="4"/>
      <c r="CC199" s="4"/>
      <c r="CD199" s="4"/>
      <c r="CE199" s="4"/>
      <c r="CF199" s="4"/>
      <c r="CG199" s="126">
        <f t="shared" ref="CG199:CG213" si="131">(D199*0.708285)+(E199*0.708285)</f>
        <v>6672.40592535</v>
      </c>
      <c r="CH199" s="126">
        <f t="shared" ref="CH199:CH213" si="132">(D199*0.291715)+(E199*0.291715)</f>
        <v>2748.1040746499998</v>
      </c>
      <c r="CI199" s="126"/>
      <c r="CJ199" s="126"/>
      <c r="CK199" s="9"/>
      <c r="CL199" s="9"/>
      <c r="CM199" s="127"/>
      <c r="CN199" s="9"/>
      <c r="CO199" s="9"/>
      <c r="CP199" s="9"/>
      <c r="CQ199" s="126"/>
      <c r="CR199" s="126"/>
      <c r="CS199" s="126"/>
      <c r="CT199" s="126"/>
      <c r="CU199" s="126"/>
      <c r="CV199" s="9"/>
      <c r="CW199" s="9"/>
      <c r="CX199" s="127"/>
      <c r="CY199" s="70"/>
      <c r="CZ199" s="70"/>
    </row>
    <row r="200" spans="1:104" x14ac:dyDescent="0.35">
      <c r="A200" s="159">
        <v>801</v>
      </c>
      <c r="B200" s="124" t="s">
        <v>647</v>
      </c>
      <c r="C200" s="160">
        <v>668698.56087125628</v>
      </c>
      <c r="D200" s="160">
        <v>58674.96</v>
      </c>
      <c r="E200" s="160">
        <v>27286.240000000002</v>
      </c>
      <c r="F200" s="161">
        <f t="shared" si="114"/>
        <v>85961.2</v>
      </c>
      <c r="G200" s="160">
        <v>73509.14</v>
      </c>
      <c r="H200" s="160">
        <v>34184.730000000003</v>
      </c>
      <c r="I200" s="161">
        <f t="shared" si="99"/>
        <v>107693.87</v>
      </c>
      <c r="J200" s="160">
        <v>-368.82</v>
      </c>
      <c r="K200" s="160">
        <v>-163.03</v>
      </c>
      <c r="L200" s="161">
        <f t="shared" si="115"/>
        <v>-531.85</v>
      </c>
      <c r="M200" s="162">
        <v>0</v>
      </c>
      <c r="N200" s="162">
        <v>0</v>
      </c>
      <c r="O200" s="161">
        <f t="shared" si="116"/>
        <v>0</v>
      </c>
      <c r="P200" s="160">
        <v>0</v>
      </c>
      <c r="Q200" s="160">
        <v>0</v>
      </c>
      <c r="R200" s="163">
        <f t="shared" si="117"/>
        <v>0</v>
      </c>
      <c r="S200" s="125">
        <v>0</v>
      </c>
      <c r="T200" s="125">
        <v>0</v>
      </c>
      <c r="U200" s="162">
        <v>0</v>
      </c>
      <c r="V200" s="162">
        <v>0</v>
      </c>
      <c r="W200" s="112">
        <f t="shared" si="100"/>
        <v>73509.14</v>
      </c>
      <c r="X200" s="112">
        <f t="shared" si="100"/>
        <v>34184.730000000003</v>
      </c>
      <c r="Y200" s="112">
        <f>(W200*0.565352)+(X200*0.627445)</f>
        <v>63007.577232130003</v>
      </c>
      <c r="Z200" s="112"/>
      <c r="AA200" s="112"/>
      <c r="AB200" s="10"/>
      <c r="AC200" s="10">
        <f t="shared" si="113"/>
        <v>22953.562108000002</v>
      </c>
      <c r="AD200" s="10">
        <f t="shared" si="109"/>
        <v>200.63367981000002</v>
      </c>
      <c r="AE200" s="10">
        <f t="shared" si="110"/>
        <v>21532.09698006</v>
      </c>
      <c r="AF200" s="4"/>
      <c r="AG200" s="112"/>
      <c r="AH200" s="112"/>
      <c r="AI200" s="10"/>
      <c r="AJ200" s="10"/>
      <c r="AK200" s="10"/>
      <c r="AL200" s="10"/>
      <c r="AM200" s="10">
        <f t="shared" si="118"/>
        <v>0</v>
      </c>
      <c r="AN200" s="9">
        <f t="shared" si="119"/>
        <v>0</v>
      </c>
      <c r="AO200" s="10">
        <f t="shared" si="120"/>
        <v>0</v>
      </c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9">
        <f t="shared" si="111"/>
        <v>107693.87</v>
      </c>
      <c r="BN200" s="9">
        <f t="shared" ref="BN200:BN213" si="133">Y200+AE200+AI200+AL200+AM200+AN200+AO200+AP200+AQ200+AU200+AV200+AW200+AY200+AZ200+BA200+BB200+BE200+BF200+BG200+BI200+Z200+AA200+BC200</f>
        <v>84539.674212190002</v>
      </c>
      <c r="BO200" s="9">
        <f t="shared" si="121"/>
        <v>22953.562108000002</v>
      </c>
      <c r="BP200" s="9">
        <f t="shared" si="122"/>
        <v>200.63367981000002</v>
      </c>
      <c r="BQ200" s="10">
        <f t="shared" si="123"/>
        <v>0</v>
      </c>
      <c r="BR200" s="9">
        <f t="shared" si="124"/>
        <v>107693.87</v>
      </c>
      <c r="BS200" s="142">
        <f t="shared" ref="BS200:BS214" si="134">Y200+Z200+AA200+AE200+AO200+AP200+AQ200+AT200+AU200+AV200+AW200</f>
        <v>84539.674212190002</v>
      </c>
      <c r="BT200" s="83">
        <f t="shared" si="125"/>
        <v>84540</v>
      </c>
      <c r="BU200" s="175">
        <f t="shared" si="126"/>
        <v>8.2546530895849708E-5</v>
      </c>
      <c r="BV200" s="173">
        <f t="shared" si="127"/>
        <v>22953.562108000002</v>
      </c>
      <c r="BW200" s="176">
        <f t="shared" si="128"/>
        <v>1.3382676872048218E-4</v>
      </c>
      <c r="BX200" s="177">
        <f t="shared" si="129"/>
        <v>200.63367981000002</v>
      </c>
      <c r="BY200" s="178">
        <f t="shared" si="130"/>
        <v>2.0757041977428252E-4</v>
      </c>
      <c r="BZ200" s="4"/>
      <c r="CA200" s="4"/>
      <c r="CB200" s="4"/>
      <c r="CC200" s="4"/>
      <c r="CD200" s="4"/>
      <c r="CE200" s="4"/>
      <c r="CF200" s="4"/>
      <c r="CG200" s="126">
        <f t="shared" si="131"/>
        <v>60885.028542</v>
      </c>
      <c r="CH200" s="126">
        <f t="shared" si="132"/>
        <v>25076.171458000001</v>
      </c>
      <c r="CI200" s="126"/>
      <c r="CJ200" s="126"/>
      <c r="CK200" s="9"/>
      <c r="CL200" s="9"/>
      <c r="CM200" s="127"/>
      <c r="CN200" s="9"/>
      <c r="CO200" s="9"/>
      <c r="CP200" s="9"/>
      <c r="CQ200" s="126"/>
      <c r="CR200" s="126"/>
      <c r="CS200" s="126"/>
      <c r="CT200" s="126"/>
      <c r="CU200" s="126"/>
      <c r="CV200" s="9"/>
      <c r="CW200" s="9"/>
      <c r="CX200" s="127"/>
      <c r="CY200" s="72"/>
      <c r="CZ200" s="71"/>
    </row>
    <row r="201" spans="1:104" x14ac:dyDescent="0.35">
      <c r="A201" s="159">
        <v>805</v>
      </c>
      <c r="B201" s="124" t="s">
        <v>648</v>
      </c>
      <c r="C201" s="160">
        <v>1538131.6997277322</v>
      </c>
      <c r="D201" s="160">
        <v>113109.68</v>
      </c>
      <c r="E201" s="160">
        <v>84617.15</v>
      </c>
      <c r="F201" s="161">
        <f t="shared" si="114"/>
        <v>197726.83</v>
      </c>
      <c r="G201" s="160">
        <v>141706.01</v>
      </c>
      <c r="H201" s="160">
        <v>106009.92</v>
      </c>
      <c r="I201" s="161">
        <f t="shared" si="99"/>
        <v>247715.93</v>
      </c>
      <c r="J201" s="160">
        <v>0.02</v>
      </c>
      <c r="K201" s="160">
        <v>-0.01</v>
      </c>
      <c r="L201" s="161">
        <f t="shared" si="115"/>
        <v>0.01</v>
      </c>
      <c r="M201" s="162">
        <v>0</v>
      </c>
      <c r="N201" s="162">
        <v>0</v>
      </c>
      <c r="O201" s="161">
        <f t="shared" si="116"/>
        <v>0</v>
      </c>
      <c r="P201" s="160">
        <v>0</v>
      </c>
      <c r="Q201" s="160">
        <v>0</v>
      </c>
      <c r="R201" s="163">
        <f t="shared" si="117"/>
        <v>0</v>
      </c>
      <c r="S201" s="125">
        <v>0</v>
      </c>
      <c r="T201" s="125">
        <v>0</v>
      </c>
      <c r="U201" s="162">
        <v>0</v>
      </c>
      <c r="V201" s="162">
        <v>0</v>
      </c>
      <c r="W201" s="112">
        <f t="shared" si="100"/>
        <v>141706.01</v>
      </c>
      <c r="X201" s="112">
        <f t="shared" si="100"/>
        <v>106009.92</v>
      </c>
      <c r="Y201" s="112">
        <f t="shared" ref="Y201:Y204" si="135">(W201*0.565352)+(X201*0.627445)</f>
        <v>146629.17041992</v>
      </c>
      <c r="Z201" s="112"/>
      <c r="AA201" s="112"/>
      <c r="AB201" s="10"/>
      <c r="AC201" s="10">
        <f t="shared" si="113"/>
        <v>51097.437190149998</v>
      </c>
      <c r="AD201" s="10">
        <f t="shared" si="109"/>
        <v>461.49477759000001</v>
      </c>
      <c r="AE201" s="10">
        <f t="shared" si="110"/>
        <v>49527.827612339999</v>
      </c>
      <c r="AF201" s="4"/>
      <c r="AG201" s="112"/>
      <c r="AH201" s="112"/>
      <c r="AI201" s="10"/>
      <c r="AJ201" s="10"/>
      <c r="AK201" s="10"/>
      <c r="AL201" s="10"/>
      <c r="AM201" s="10">
        <f t="shared" si="118"/>
        <v>0</v>
      </c>
      <c r="AN201" s="9">
        <f t="shared" si="119"/>
        <v>0</v>
      </c>
      <c r="AO201" s="10">
        <f t="shared" si="120"/>
        <v>0</v>
      </c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140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9">
        <f t="shared" si="111"/>
        <v>247715.93</v>
      </c>
      <c r="BN201" s="9">
        <f t="shared" si="133"/>
        <v>196156.99803225999</v>
      </c>
      <c r="BO201" s="9">
        <f t="shared" si="121"/>
        <v>51097.437190149998</v>
      </c>
      <c r="BP201" s="9">
        <f t="shared" si="122"/>
        <v>461.49477759000001</v>
      </c>
      <c r="BQ201" s="10">
        <f t="shared" si="123"/>
        <v>0</v>
      </c>
      <c r="BR201" s="9">
        <f t="shared" si="124"/>
        <v>247715.93</v>
      </c>
      <c r="BS201" s="142">
        <f t="shared" si="134"/>
        <v>196156.99803225999</v>
      </c>
      <c r="BT201" s="83">
        <f t="shared" si="125"/>
        <v>196157</v>
      </c>
      <c r="BU201" s="175">
        <f t="shared" si="126"/>
        <v>1.9153231721553407E-4</v>
      </c>
      <c r="BV201" s="173">
        <f t="shared" si="127"/>
        <v>51097.437190149998</v>
      </c>
      <c r="BW201" s="176">
        <f t="shared" si="128"/>
        <v>2.9791475836651296E-4</v>
      </c>
      <c r="BX201" s="177">
        <f t="shared" si="129"/>
        <v>461.49477759000001</v>
      </c>
      <c r="BY201" s="178">
        <f t="shared" si="130"/>
        <v>4.7745056960880671E-4</v>
      </c>
      <c r="BZ201" s="4"/>
      <c r="CA201" s="4"/>
      <c r="CB201" s="4"/>
      <c r="CC201" s="4"/>
      <c r="CD201" s="4"/>
      <c r="CE201" s="4"/>
      <c r="CF201" s="4"/>
      <c r="CG201" s="126">
        <f t="shared" si="131"/>
        <v>140046.94778655001</v>
      </c>
      <c r="CH201" s="126">
        <f t="shared" si="132"/>
        <v>57679.882213449993</v>
      </c>
      <c r="CI201" s="126"/>
      <c r="CJ201" s="126"/>
      <c r="CK201" s="9"/>
      <c r="CL201" s="9"/>
      <c r="CM201" s="127"/>
      <c r="CN201" s="9"/>
      <c r="CO201" s="9"/>
      <c r="CP201" s="9"/>
      <c r="CQ201" s="126"/>
      <c r="CR201" s="126"/>
      <c r="CS201" s="126"/>
      <c r="CT201" s="126"/>
      <c r="CU201" s="126"/>
      <c r="CV201" s="9"/>
      <c r="CW201" s="9"/>
      <c r="CX201" s="127"/>
      <c r="CY201" s="72"/>
      <c r="CZ201" s="72"/>
    </row>
    <row r="202" spans="1:104" x14ac:dyDescent="0.35">
      <c r="A202" s="159">
        <v>806</v>
      </c>
      <c r="B202" s="124" t="s">
        <v>649</v>
      </c>
      <c r="C202" s="160">
        <v>194820.92570984052</v>
      </c>
      <c r="D202" s="160">
        <v>25044.23</v>
      </c>
      <c r="E202" s="160" t="s">
        <v>665</v>
      </c>
      <c r="F202" s="161">
        <f t="shared" si="114"/>
        <v>25044.23</v>
      </c>
      <c r="G202" s="160">
        <v>31375.9</v>
      </c>
      <c r="H202" s="160" t="s">
        <v>665</v>
      </c>
      <c r="I202" s="161">
        <f t="shared" si="99"/>
        <v>31375.9</v>
      </c>
      <c r="J202" s="160">
        <v>0</v>
      </c>
      <c r="K202" s="160" t="s">
        <v>665</v>
      </c>
      <c r="L202" s="161">
        <f t="shared" si="115"/>
        <v>0</v>
      </c>
      <c r="M202" s="162">
        <v>0</v>
      </c>
      <c r="N202" s="162" t="s">
        <v>665</v>
      </c>
      <c r="O202" s="161">
        <f t="shared" si="116"/>
        <v>0</v>
      </c>
      <c r="P202" s="160">
        <v>0</v>
      </c>
      <c r="Q202" s="160" t="s">
        <v>665</v>
      </c>
      <c r="R202" s="163">
        <f t="shared" si="117"/>
        <v>0</v>
      </c>
      <c r="S202" s="125">
        <v>0</v>
      </c>
      <c r="T202" s="125">
        <v>0</v>
      </c>
      <c r="U202" s="162">
        <v>0</v>
      </c>
      <c r="V202" s="162">
        <v>0</v>
      </c>
      <c r="W202" s="112">
        <f t="shared" si="100"/>
        <v>31375.9</v>
      </c>
      <c r="X202" s="112" t="str">
        <f t="shared" si="100"/>
        <v>0</v>
      </c>
      <c r="Y202" s="112">
        <f t="shared" si="135"/>
        <v>17738.427816799998</v>
      </c>
      <c r="Z202" s="112"/>
      <c r="AA202" s="112"/>
      <c r="AB202" s="10"/>
      <c r="AC202" s="10">
        <f t="shared" si="113"/>
        <v>7305.7841873000007</v>
      </c>
      <c r="AD202" s="10">
        <f t="shared" si="109"/>
        <v>58.453301700000004</v>
      </c>
      <c r="AE202" s="10">
        <f t="shared" si="110"/>
        <v>6273.2346942000004</v>
      </c>
      <c r="AF202" s="4"/>
      <c r="AG202" s="112"/>
      <c r="AH202" s="112"/>
      <c r="AI202" s="10"/>
      <c r="AJ202" s="10"/>
      <c r="AK202" s="10"/>
      <c r="AL202" s="10"/>
      <c r="AM202" s="10">
        <f t="shared" si="118"/>
        <v>0</v>
      </c>
      <c r="AN202" s="9">
        <f t="shared" si="119"/>
        <v>0</v>
      </c>
      <c r="AO202" s="10">
        <f t="shared" si="120"/>
        <v>0</v>
      </c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9">
        <f t="shared" si="111"/>
        <v>31375.899999999998</v>
      </c>
      <c r="BN202" s="9">
        <f t="shared" si="133"/>
        <v>24011.662510999999</v>
      </c>
      <c r="BO202" s="9">
        <f t="shared" si="121"/>
        <v>7305.7841873000007</v>
      </c>
      <c r="BP202" s="9">
        <f t="shared" si="122"/>
        <v>58.453301700000004</v>
      </c>
      <c r="BQ202" s="10">
        <f t="shared" si="123"/>
        <v>0</v>
      </c>
      <c r="BR202" s="9">
        <f t="shared" si="124"/>
        <v>31375.899999999998</v>
      </c>
      <c r="BS202" s="142">
        <f t="shared" si="134"/>
        <v>24011.662510999999</v>
      </c>
      <c r="BT202" s="83">
        <f t="shared" si="125"/>
        <v>24012</v>
      </c>
      <c r="BU202" s="175">
        <f t="shared" si="126"/>
        <v>2.3445553342801697E-5</v>
      </c>
      <c r="BV202" s="173">
        <f t="shared" si="127"/>
        <v>7305.7841873000007</v>
      </c>
      <c r="BW202" s="176">
        <f t="shared" si="128"/>
        <v>4.2595109471692509E-5</v>
      </c>
      <c r="BX202" s="177">
        <f t="shared" si="129"/>
        <v>58.453301700000004</v>
      </c>
      <c r="BY202" s="178">
        <f t="shared" si="130"/>
        <v>6.0474275219155101E-5</v>
      </c>
      <c r="BZ202" s="4"/>
      <c r="CA202" s="4"/>
      <c r="CB202" s="4"/>
      <c r="CC202" s="4"/>
      <c r="CD202" s="4"/>
      <c r="CE202" s="4"/>
      <c r="CF202" s="4"/>
      <c r="CG202" s="126">
        <f t="shared" si="131"/>
        <v>17738.45244555</v>
      </c>
      <c r="CH202" s="126">
        <f t="shared" si="132"/>
        <v>7305.77755445</v>
      </c>
      <c r="CI202" s="126"/>
      <c r="CJ202" s="126"/>
      <c r="CK202" s="9"/>
      <c r="CL202" s="9"/>
      <c r="CM202" s="127"/>
      <c r="CN202" s="9"/>
      <c r="CO202" s="9"/>
      <c r="CP202" s="9"/>
      <c r="CQ202" s="126"/>
      <c r="CR202" s="126"/>
      <c r="CS202" s="126"/>
      <c r="CT202" s="126"/>
      <c r="CU202" s="126"/>
      <c r="CV202" s="9"/>
      <c r="CW202" s="9"/>
      <c r="CX202" s="127"/>
      <c r="CY202" s="72"/>
      <c r="CZ202" s="72"/>
    </row>
    <row r="203" spans="1:104" x14ac:dyDescent="0.35">
      <c r="A203" s="159">
        <v>807</v>
      </c>
      <c r="B203" s="124" t="s">
        <v>650</v>
      </c>
      <c r="C203" s="160">
        <v>125462.69933877868</v>
      </c>
      <c r="D203" s="160">
        <v>16128.23</v>
      </c>
      <c r="E203" s="160" t="s">
        <v>665</v>
      </c>
      <c r="F203" s="161">
        <f t="shared" si="114"/>
        <v>16128.23</v>
      </c>
      <c r="G203" s="160">
        <v>20205.84</v>
      </c>
      <c r="H203" s="160" t="s">
        <v>665</v>
      </c>
      <c r="I203" s="161">
        <f t="shared" si="99"/>
        <v>20205.84</v>
      </c>
      <c r="J203" s="160">
        <v>0</v>
      </c>
      <c r="K203" s="160" t="s">
        <v>665</v>
      </c>
      <c r="L203" s="161">
        <f t="shared" si="115"/>
        <v>0</v>
      </c>
      <c r="M203" s="162">
        <v>0</v>
      </c>
      <c r="N203" s="162" t="s">
        <v>665</v>
      </c>
      <c r="O203" s="161">
        <f t="shared" si="116"/>
        <v>0</v>
      </c>
      <c r="P203" s="160">
        <v>0</v>
      </c>
      <c r="Q203" s="160" t="s">
        <v>665</v>
      </c>
      <c r="R203" s="163">
        <f t="shared" si="117"/>
        <v>0</v>
      </c>
      <c r="S203" s="125">
        <v>0</v>
      </c>
      <c r="T203" s="125">
        <v>0</v>
      </c>
      <c r="U203" s="162">
        <v>0</v>
      </c>
      <c r="V203" s="162">
        <v>0</v>
      </c>
      <c r="W203" s="112">
        <f t="shared" si="100"/>
        <v>20205.84</v>
      </c>
      <c r="X203" s="112" t="str">
        <f t="shared" si="100"/>
        <v>0</v>
      </c>
      <c r="Y203" s="112">
        <f t="shared" si="135"/>
        <v>11423.412055679999</v>
      </c>
      <c r="Z203" s="112"/>
      <c r="AA203" s="112"/>
      <c r="AB203" s="10"/>
      <c r="AC203" s="10">
        <f t="shared" si="113"/>
        <v>4704.8692264800002</v>
      </c>
      <c r="AD203" s="10">
        <f t="shared" si="109"/>
        <v>37.643479920000004</v>
      </c>
      <c r="AE203" s="10">
        <f t="shared" si="110"/>
        <v>4039.91523792</v>
      </c>
      <c r="AF203" s="4"/>
      <c r="AG203" s="112"/>
      <c r="AH203" s="112"/>
      <c r="AI203" s="10"/>
      <c r="AJ203" s="10"/>
      <c r="AK203" s="10"/>
      <c r="AL203" s="10"/>
      <c r="AM203" s="10">
        <f t="shared" si="118"/>
        <v>0</v>
      </c>
      <c r="AN203" s="9">
        <f t="shared" si="119"/>
        <v>0</v>
      </c>
      <c r="AO203" s="10">
        <f t="shared" si="120"/>
        <v>0</v>
      </c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9">
        <f t="shared" si="111"/>
        <v>20205.839999999997</v>
      </c>
      <c r="BN203" s="9">
        <f t="shared" si="133"/>
        <v>15463.327293599999</v>
      </c>
      <c r="BO203" s="9">
        <f t="shared" si="121"/>
        <v>4704.8692264800002</v>
      </c>
      <c r="BP203" s="9">
        <f t="shared" si="122"/>
        <v>37.643479920000004</v>
      </c>
      <c r="BQ203" s="10">
        <f t="shared" si="123"/>
        <v>0</v>
      </c>
      <c r="BR203" s="9">
        <f t="shared" si="124"/>
        <v>20205.84</v>
      </c>
      <c r="BS203" s="142">
        <f t="shared" si="134"/>
        <v>15463.327293599999</v>
      </c>
      <c r="BT203" s="83">
        <f t="shared" si="125"/>
        <v>15463</v>
      </c>
      <c r="BU203" s="175">
        <f t="shared" si="126"/>
        <v>1.509875731233578E-5</v>
      </c>
      <c r="BV203" s="173">
        <f t="shared" si="127"/>
        <v>4704.8692264800002</v>
      </c>
      <c r="BW203" s="176">
        <f t="shared" si="128"/>
        <v>2.7430925225013571E-5</v>
      </c>
      <c r="BX203" s="177">
        <f t="shared" si="129"/>
        <v>37.643479920000004</v>
      </c>
      <c r="BY203" s="178">
        <f t="shared" si="130"/>
        <v>3.894497143330432E-5</v>
      </c>
      <c r="BZ203" s="4"/>
      <c r="CA203" s="4"/>
      <c r="CB203" s="4"/>
      <c r="CC203" s="4"/>
      <c r="CD203" s="4"/>
      <c r="CE203" s="4"/>
      <c r="CF203" s="4"/>
      <c r="CG203" s="126">
        <f t="shared" si="131"/>
        <v>11423.38338555</v>
      </c>
      <c r="CH203" s="126">
        <f t="shared" si="132"/>
        <v>4704.8466144499998</v>
      </c>
      <c r="CI203" s="126"/>
      <c r="CJ203" s="126"/>
      <c r="CK203" s="9"/>
      <c r="CL203" s="9"/>
      <c r="CM203" s="127"/>
      <c r="CN203" s="9"/>
      <c r="CO203" s="9"/>
      <c r="CP203" s="9"/>
      <c r="CQ203" s="126"/>
      <c r="CR203" s="126"/>
      <c r="CS203" s="126"/>
      <c r="CT203" s="126"/>
      <c r="CU203" s="126"/>
      <c r="CV203" s="9"/>
      <c r="CW203" s="9"/>
      <c r="CX203" s="127"/>
      <c r="CY203" s="72"/>
      <c r="CZ203" s="72"/>
    </row>
    <row r="204" spans="1:104" x14ac:dyDescent="0.35">
      <c r="A204" s="159">
        <v>809</v>
      </c>
      <c r="B204" s="124" t="s">
        <v>651</v>
      </c>
      <c r="C204" s="160">
        <v>56872.967716841704</v>
      </c>
      <c r="D204" s="160">
        <v>7311.02</v>
      </c>
      <c r="E204" s="160" t="s">
        <v>665</v>
      </c>
      <c r="F204" s="161">
        <f t="shared" si="114"/>
        <v>7311.02</v>
      </c>
      <c r="G204" s="160">
        <v>9159.42</v>
      </c>
      <c r="H204" s="160" t="s">
        <v>665</v>
      </c>
      <c r="I204" s="161">
        <f t="shared" si="99"/>
        <v>9159.42</v>
      </c>
      <c r="J204" s="160">
        <v>0</v>
      </c>
      <c r="K204" s="160" t="s">
        <v>665</v>
      </c>
      <c r="L204" s="161">
        <f t="shared" si="115"/>
        <v>0</v>
      </c>
      <c r="M204" s="162">
        <v>0</v>
      </c>
      <c r="N204" s="162" t="s">
        <v>665</v>
      </c>
      <c r="O204" s="161">
        <f t="shared" si="116"/>
        <v>0</v>
      </c>
      <c r="P204" s="160">
        <v>0</v>
      </c>
      <c r="Q204" s="160" t="s">
        <v>665</v>
      </c>
      <c r="R204" s="163">
        <f t="shared" si="117"/>
        <v>0</v>
      </c>
      <c r="S204" s="125">
        <v>0</v>
      </c>
      <c r="T204" s="125">
        <v>0</v>
      </c>
      <c r="U204" s="162">
        <v>0</v>
      </c>
      <c r="V204" s="162">
        <v>0</v>
      </c>
      <c r="W204" s="112">
        <f t="shared" si="100"/>
        <v>9159.42</v>
      </c>
      <c r="X204" s="112" t="str">
        <f t="shared" si="100"/>
        <v>0</v>
      </c>
      <c r="Y204" s="112">
        <f t="shared" si="135"/>
        <v>5178.29641584</v>
      </c>
      <c r="Z204" s="112"/>
      <c r="AA204" s="112"/>
      <c r="AB204" s="10"/>
      <c r="AC204" s="10">
        <f t="shared" si="113"/>
        <v>2132.74346874</v>
      </c>
      <c r="AD204" s="10">
        <f t="shared" si="109"/>
        <v>17.063999460000002</v>
      </c>
      <c r="AE204" s="10">
        <f t="shared" si="110"/>
        <v>1831.3161159600002</v>
      </c>
      <c r="AF204" s="4"/>
      <c r="AG204" s="112"/>
      <c r="AH204" s="112"/>
      <c r="AI204" s="10"/>
      <c r="AJ204" s="10"/>
      <c r="AK204" s="10"/>
      <c r="AL204" s="10"/>
      <c r="AM204" s="10">
        <f t="shared" si="118"/>
        <v>0</v>
      </c>
      <c r="AN204" s="9">
        <f t="shared" si="119"/>
        <v>0</v>
      </c>
      <c r="AO204" s="10">
        <f t="shared" si="120"/>
        <v>0</v>
      </c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9">
        <f t="shared" si="111"/>
        <v>9159.42</v>
      </c>
      <c r="BN204" s="9">
        <f t="shared" si="133"/>
        <v>7009.6125318000004</v>
      </c>
      <c r="BO204" s="9">
        <f t="shared" si="121"/>
        <v>2132.74346874</v>
      </c>
      <c r="BP204" s="9">
        <f t="shared" si="122"/>
        <v>17.063999460000002</v>
      </c>
      <c r="BQ204" s="10">
        <f t="shared" si="123"/>
        <v>0</v>
      </c>
      <c r="BR204" s="9">
        <f t="shared" si="124"/>
        <v>9159.42</v>
      </c>
      <c r="BS204" s="142">
        <f t="shared" si="134"/>
        <v>7009.6125318000004</v>
      </c>
      <c r="BT204" s="83">
        <f t="shared" si="125"/>
        <v>7010</v>
      </c>
      <c r="BU204" s="175">
        <f t="shared" si="126"/>
        <v>6.8443509253638852E-6</v>
      </c>
      <c r="BV204" s="173">
        <f t="shared" si="127"/>
        <v>2132.74346874</v>
      </c>
      <c r="BW204" s="176">
        <f t="shared" si="128"/>
        <v>1.2434591441112756E-5</v>
      </c>
      <c r="BX204" s="177">
        <f t="shared" si="129"/>
        <v>17.063999460000002</v>
      </c>
      <c r="BY204" s="178">
        <f t="shared" si="130"/>
        <v>1.7653972823977436E-5</v>
      </c>
      <c r="BZ204" s="4"/>
      <c r="CA204" s="4"/>
      <c r="CB204" s="4"/>
      <c r="CC204" s="4"/>
      <c r="CD204" s="4"/>
      <c r="CE204" s="4"/>
      <c r="CF204" s="4"/>
      <c r="CG204" s="126">
        <f t="shared" si="131"/>
        <v>5178.2858007000004</v>
      </c>
      <c r="CH204" s="126">
        <f t="shared" si="132"/>
        <v>2132.7341993</v>
      </c>
      <c r="CI204" s="126"/>
      <c r="CJ204" s="126"/>
      <c r="CK204" s="9"/>
      <c r="CL204" s="9"/>
      <c r="CM204" s="127"/>
      <c r="CN204" s="9"/>
      <c r="CO204" s="9"/>
      <c r="CP204" s="9"/>
      <c r="CQ204" s="126"/>
      <c r="CR204" s="126"/>
      <c r="CS204" s="126"/>
      <c r="CT204" s="126"/>
      <c r="CU204" s="126"/>
      <c r="CV204" s="9"/>
      <c r="CW204" s="9"/>
      <c r="CX204" s="127"/>
      <c r="CY204" s="72"/>
      <c r="CZ204" s="72"/>
    </row>
    <row r="205" spans="1:104" x14ac:dyDescent="0.35">
      <c r="A205" s="143">
        <v>870</v>
      </c>
      <c r="B205" s="116" t="s">
        <v>652</v>
      </c>
      <c r="C205" s="144">
        <v>4235409.9572150912</v>
      </c>
      <c r="D205" s="144">
        <v>356799.71</v>
      </c>
      <c r="E205" s="144">
        <v>187662.24</v>
      </c>
      <c r="F205" s="145">
        <f t="shared" si="114"/>
        <v>544461.94999999995</v>
      </c>
      <c r="G205" s="144"/>
      <c r="H205" s="144"/>
      <c r="I205" s="145"/>
      <c r="J205" s="144">
        <v>48117.78</v>
      </c>
      <c r="K205" s="144">
        <v>8752.24</v>
      </c>
      <c r="L205" s="145">
        <f t="shared" si="115"/>
        <v>56870.02</v>
      </c>
      <c r="M205" s="146">
        <v>188693.57</v>
      </c>
      <c r="N205" s="146">
        <v>188122.18</v>
      </c>
      <c r="O205" s="145">
        <f t="shared" si="116"/>
        <v>376815.75</v>
      </c>
      <c r="P205" s="144">
        <v>1171642.18</v>
      </c>
      <c r="Q205" s="144">
        <v>1168098.1599999999</v>
      </c>
      <c r="R205" s="147">
        <f t="shared" si="117"/>
        <v>2339740.34</v>
      </c>
      <c r="S205" s="117">
        <v>0</v>
      </c>
      <c r="T205" s="117">
        <v>0</v>
      </c>
      <c r="U205" s="146">
        <v>0</v>
      </c>
      <c r="V205" s="146">
        <v>0</v>
      </c>
      <c r="W205" s="4"/>
      <c r="X205" s="4"/>
      <c r="Y205" s="4"/>
      <c r="Z205" s="4"/>
      <c r="AA205" s="4"/>
      <c r="AB205" s="10"/>
      <c r="AC205" s="10"/>
      <c r="AD205" s="4"/>
      <c r="AE205" s="4"/>
      <c r="AF205" s="10">
        <f t="shared" ref="AF205:AH212" si="136">L205</f>
        <v>56870.02</v>
      </c>
      <c r="AG205" s="112">
        <f t="shared" si="136"/>
        <v>188693.57</v>
      </c>
      <c r="AH205" s="112">
        <f t="shared" si="136"/>
        <v>188122.18</v>
      </c>
      <c r="AI205" s="10">
        <f t="shared" ref="AI205:AI212" si="137">(AG205*0.565352)+(AH205*0.627445)</f>
        <v>224714.60841674</v>
      </c>
      <c r="AJ205" s="10">
        <f t="shared" ref="AJ205:AJ212" si="138">(AG205*0.232847)+(AH205*0.170754)</f>
        <v>76059.346417510009</v>
      </c>
      <c r="AK205" s="10">
        <f t="shared" ref="AK205:AK213" si="139">(AG205*0.001863)+(AH205*0.001863)</f>
        <v>702.00774225000009</v>
      </c>
      <c r="AL205" s="10">
        <f t="shared" ref="AL205:AL213" si="140">(AG205*0.199938)+(AH205*0.199938)</f>
        <v>75339.787423500005</v>
      </c>
      <c r="AM205" s="10">
        <f t="shared" si="118"/>
        <v>0</v>
      </c>
      <c r="AN205" s="9">
        <f t="shared" si="119"/>
        <v>0</v>
      </c>
      <c r="AO205" s="10">
        <f t="shared" si="120"/>
        <v>0</v>
      </c>
      <c r="AP205" s="66">
        <f t="shared" ref="AP205:AP212" si="141">(((D205/0.12855)-P205)*0.09105)+(((E205/0.12855)-Q205)*0.10105)</f>
        <v>175518.12211161148</v>
      </c>
      <c r="AQ205" s="66">
        <f t="shared" ref="AQ205:AQ212" si="142">(((D205/0.12855)-P205)*0.0322)+(((E205/0.12855)-Q205)*0.0322)</f>
        <v>61040.561674325952</v>
      </c>
      <c r="AR205" s="66">
        <f t="shared" ref="AR205:AR212" si="143">(((D205/0.12855)-P205)*0.0003)+(((E205/0.12855)-Q205)*0.0003)</f>
        <v>568.70088516452745</v>
      </c>
      <c r="AS205" s="66">
        <f t="shared" ref="AS205:AS212" si="144">(((D205/0.12855)-P205)*0.0075)+(((E205/0.12855)-Q205)*0.0075)</f>
        <v>14217.522129113186</v>
      </c>
      <c r="AT205" s="66"/>
      <c r="AU205" s="4"/>
      <c r="AV205" s="4"/>
      <c r="AW205" s="4"/>
      <c r="AX205" s="4"/>
      <c r="AY205" s="4"/>
      <c r="AZ205" s="4"/>
      <c r="BA205" s="4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9">
        <f t="shared" si="111"/>
        <v>685030.67680021527</v>
      </c>
      <c r="BN205" s="9">
        <f t="shared" si="133"/>
        <v>536613.07962617744</v>
      </c>
      <c r="BO205" s="9">
        <f t="shared" si="121"/>
        <v>147146.88854662317</v>
      </c>
      <c r="BP205" s="9">
        <f t="shared" si="122"/>
        <v>1270.7086274145277</v>
      </c>
      <c r="BQ205" s="10">
        <f t="shared" si="123"/>
        <v>0</v>
      </c>
      <c r="BR205" s="9">
        <f t="shared" si="124"/>
        <v>685030.67680021515</v>
      </c>
      <c r="BS205" s="142">
        <f t="shared" si="134"/>
        <v>236558.68378593744</v>
      </c>
      <c r="BT205" s="83">
        <f t="shared" si="125"/>
        <v>236559</v>
      </c>
      <c r="BU205" s="175">
        <f t="shared" si="126"/>
        <v>2.3098147564190355E-4</v>
      </c>
      <c r="BV205" s="173">
        <f t="shared" si="127"/>
        <v>56870.02</v>
      </c>
      <c r="BW205" s="176">
        <f t="shared" si="128"/>
        <v>3.3157080273029293E-4</v>
      </c>
      <c r="BX205" s="177">
        <f t="shared" si="129"/>
        <v>0</v>
      </c>
      <c r="BY205" s="178">
        <f t="shared" si="130"/>
        <v>0</v>
      </c>
      <c r="BZ205" s="4"/>
      <c r="CA205" s="4"/>
      <c r="CB205" s="4"/>
      <c r="CC205" s="4"/>
      <c r="CD205" s="4"/>
      <c r="CE205" s="4"/>
      <c r="CF205" s="4"/>
      <c r="CG205" s="126">
        <f t="shared" si="131"/>
        <v>385634.23225574999</v>
      </c>
      <c r="CH205" s="126">
        <f t="shared" si="132"/>
        <v>158827.71774425</v>
      </c>
      <c r="CI205" s="126"/>
      <c r="CJ205" s="126"/>
      <c r="CK205" s="9"/>
      <c r="CL205" s="9"/>
      <c r="CM205" s="127"/>
      <c r="CN205" s="9"/>
      <c r="CO205" s="9"/>
      <c r="CP205" s="9"/>
      <c r="CQ205" s="126"/>
      <c r="CR205" s="126"/>
      <c r="CS205" s="126"/>
      <c r="CT205" s="126"/>
      <c r="CU205" s="126"/>
      <c r="CV205" s="9"/>
      <c r="CW205" s="9"/>
      <c r="CX205" s="127"/>
      <c r="CY205" s="67"/>
      <c r="CZ205" s="67"/>
    </row>
    <row r="206" spans="1:104" x14ac:dyDescent="0.35">
      <c r="A206" s="143">
        <v>871</v>
      </c>
      <c r="B206" s="116" t="s">
        <v>653</v>
      </c>
      <c r="C206" s="144">
        <v>1630741.8125243096</v>
      </c>
      <c r="D206" s="144">
        <v>170163.64</v>
      </c>
      <c r="E206" s="144">
        <v>39468.22</v>
      </c>
      <c r="F206" s="145">
        <f t="shared" si="114"/>
        <v>209631.86000000002</v>
      </c>
      <c r="G206" s="144"/>
      <c r="H206" s="144"/>
      <c r="I206" s="145"/>
      <c r="J206" s="144">
        <v>22089.63</v>
      </c>
      <c r="K206" s="144">
        <v>6158.85</v>
      </c>
      <c r="L206" s="145">
        <f t="shared" si="115"/>
        <v>28248.480000000003</v>
      </c>
      <c r="M206" s="146">
        <v>94601.34</v>
      </c>
      <c r="N206" s="146">
        <v>16385.900000000001</v>
      </c>
      <c r="O206" s="145">
        <f t="shared" si="116"/>
        <v>110987.23999999999</v>
      </c>
      <c r="P206" s="144">
        <v>587403.76</v>
      </c>
      <c r="Q206" s="144">
        <v>101744.37</v>
      </c>
      <c r="R206" s="147">
        <f t="shared" si="117"/>
        <v>689148.13</v>
      </c>
      <c r="S206" s="117">
        <v>0</v>
      </c>
      <c r="T206" s="117">
        <v>0</v>
      </c>
      <c r="U206" s="146">
        <v>0</v>
      </c>
      <c r="V206" s="146">
        <v>0</v>
      </c>
      <c r="W206" s="4"/>
      <c r="X206" s="4"/>
      <c r="Y206" s="4"/>
      <c r="Z206" s="4"/>
      <c r="AA206" s="4"/>
      <c r="AB206" s="10"/>
      <c r="AC206" s="10"/>
      <c r="AD206" s="4"/>
      <c r="AE206" s="4"/>
      <c r="AF206" s="10">
        <f t="shared" si="136"/>
        <v>28248.480000000003</v>
      </c>
      <c r="AG206" s="112">
        <f t="shared" si="136"/>
        <v>94601.34</v>
      </c>
      <c r="AH206" s="112">
        <f t="shared" si="136"/>
        <v>16385.900000000001</v>
      </c>
      <c r="AI206" s="10">
        <f t="shared" si="137"/>
        <v>63764.307797179994</v>
      </c>
      <c r="AJ206" s="10">
        <f t="shared" si="138"/>
        <v>24825.596183579997</v>
      </c>
      <c r="AK206" s="10">
        <f t="shared" si="139"/>
        <v>206.76922812000001</v>
      </c>
      <c r="AL206" s="10">
        <f t="shared" si="140"/>
        <v>22190.56679112</v>
      </c>
      <c r="AM206" s="10">
        <f t="shared" si="118"/>
        <v>0</v>
      </c>
      <c r="AN206" s="9">
        <f t="shared" si="119"/>
        <v>0</v>
      </c>
      <c r="AO206" s="10">
        <f t="shared" si="120"/>
        <v>0</v>
      </c>
      <c r="AP206" s="66">
        <f t="shared" si="141"/>
        <v>87784.923248641993</v>
      </c>
      <c r="AQ206" s="66">
        <f t="shared" si="142"/>
        <v>30319.316577282774</v>
      </c>
      <c r="AR206" s="66">
        <f t="shared" si="143"/>
        <v>282.47810475729295</v>
      </c>
      <c r="AS206" s="66">
        <f t="shared" si="144"/>
        <v>7061.9526189323233</v>
      </c>
      <c r="AT206" s="66"/>
      <c r="AU206" s="4"/>
      <c r="AV206" s="4"/>
      <c r="AW206" s="4"/>
      <c r="AX206" s="4"/>
      <c r="AY206" s="4"/>
      <c r="AZ206" s="4"/>
      <c r="BA206" s="4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9">
        <f t="shared" si="111"/>
        <v>264684.39054961439</v>
      </c>
      <c r="BN206" s="9">
        <f t="shared" si="133"/>
        <v>204059.11441422475</v>
      </c>
      <c r="BO206" s="9">
        <f t="shared" si="121"/>
        <v>60136.028802512323</v>
      </c>
      <c r="BP206" s="9">
        <f t="shared" si="122"/>
        <v>489.24733287729293</v>
      </c>
      <c r="BQ206" s="10">
        <f t="shared" si="123"/>
        <v>0</v>
      </c>
      <c r="BR206" s="9">
        <f t="shared" si="124"/>
        <v>264684.39054961439</v>
      </c>
      <c r="BS206" s="142">
        <f t="shared" si="134"/>
        <v>118104.23982592477</v>
      </c>
      <c r="BT206" s="83">
        <f t="shared" si="125"/>
        <v>118104</v>
      </c>
      <c r="BU206" s="175">
        <f t="shared" si="126"/>
        <v>1.1531976403471631E-4</v>
      </c>
      <c r="BV206" s="173">
        <f t="shared" si="127"/>
        <v>28248.480000000003</v>
      </c>
      <c r="BW206" s="176">
        <f t="shared" si="128"/>
        <v>1.6469787050383712E-4</v>
      </c>
      <c r="BX206" s="177">
        <f t="shared" si="129"/>
        <v>0</v>
      </c>
      <c r="BY206" s="178">
        <f t="shared" si="130"/>
        <v>0</v>
      </c>
      <c r="BZ206" s="4"/>
      <c r="CA206" s="4"/>
      <c r="CB206" s="4"/>
      <c r="CC206" s="4"/>
      <c r="CD206" s="4"/>
      <c r="CE206" s="4"/>
      <c r="CF206" s="4"/>
      <c r="CG206" s="126">
        <f t="shared" si="131"/>
        <v>148479.10196010003</v>
      </c>
      <c r="CH206" s="126">
        <f t="shared" si="132"/>
        <v>61152.758039900007</v>
      </c>
      <c r="CI206" s="126"/>
      <c r="CJ206" s="126"/>
      <c r="CK206" s="9"/>
      <c r="CL206" s="9"/>
      <c r="CM206" s="127"/>
      <c r="CN206" s="9"/>
      <c r="CO206" s="9"/>
      <c r="CP206" s="9"/>
      <c r="CQ206" s="126"/>
      <c r="CR206" s="126"/>
      <c r="CS206" s="126"/>
      <c r="CT206" s="126"/>
      <c r="CU206" s="126"/>
      <c r="CV206" s="9"/>
      <c r="CW206" s="9"/>
      <c r="CX206" s="127"/>
      <c r="CY206" s="67"/>
      <c r="CZ206" s="67"/>
    </row>
    <row r="207" spans="1:104" x14ac:dyDescent="0.35">
      <c r="A207" s="143">
        <v>872</v>
      </c>
      <c r="B207" s="116" t="s">
        <v>654</v>
      </c>
      <c r="C207" s="144">
        <v>922639.98444185138</v>
      </c>
      <c r="D207" s="144">
        <v>98256.48</v>
      </c>
      <c r="E207" s="144">
        <v>20348.89</v>
      </c>
      <c r="F207" s="145">
        <f t="shared" si="114"/>
        <v>118605.37</v>
      </c>
      <c r="G207" s="144"/>
      <c r="H207" s="144"/>
      <c r="I207" s="145"/>
      <c r="J207" s="144">
        <v>1832.16</v>
      </c>
      <c r="K207" s="144">
        <v>3308.15</v>
      </c>
      <c r="L207" s="145">
        <f t="shared" si="115"/>
        <v>5140.3100000000004</v>
      </c>
      <c r="M207" s="146">
        <v>113261.79</v>
      </c>
      <c r="N207" s="146">
        <v>7734.09</v>
      </c>
      <c r="O207" s="145">
        <f t="shared" si="116"/>
        <v>120995.87999999999</v>
      </c>
      <c r="P207" s="144">
        <v>703272.41</v>
      </c>
      <c r="Q207" s="144">
        <v>48023.01</v>
      </c>
      <c r="R207" s="147">
        <f t="shared" si="117"/>
        <v>751295.42</v>
      </c>
      <c r="S207" s="117">
        <v>0</v>
      </c>
      <c r="T207" s="117">
        <v>0</v>
      </c>
      <c r="U207" s="146">
        <v>0</v>
      </c>
      <c r="V207" s="146">
        <v>0</v>
      </c>
      <c r="W207" s="4"/>
      <c r="X207" s="4"/>
      <c r="Y207" s="4"/>
      <c r="Z207" s="4"/>
      <c r="AA207" s="4"/>
      <c r="AB207" s="10"/>
      <c r="AC207" s="10"/>
      <c r="AD207" s="4"/>
      <c r="AE207" s="4"/>
      <c r="AF207" s="10">
        <f t="shared" si="136"/>
        <v>5140.3100000000004</v>
      </c>
      <c r="AG207" s="112">
        <f t="shared" si="136"/>
        <v>113261.79</v>
      </c>
      <c r="AH207" s="112">
        <f t="shared" si="136"/>
        <v>7734.09</v>
      </c>
      <c r="AI207" s="10">
        <f t="shared" si="137"/>
        <v>68885.495600130002</v>
      </c>
      <c r="AJ207" s="10">
        <f t="shared" si="138"/>
        <v>27693.294819989998</v>
      </c>
      <c r="AK207" s="10">
        <f t="shared" si="139"/>
        <v>225.41532444000001</v>
      </c>
      <c r="AL207" s="10">
        <f t="shared" si="140"/>
        <v>24191.674255440001</v>
      </c>
      <c r="AM207" s="10">
        <f t="shared" si="118"/>
        <v>0</v>
      </c>
      <c r="AN207" s="9">
        <f t="shared" si="119"/>
        <v>0</v>
      </c>
      <c r="AO207" s="10">
        <f t="shared" si="120"/>
        <v>0</v>
      </c>
      <c r="AP207" s="66">
        <f t="shared" si="141"/>
        <v>16703.647762753397</v>
      </c>
      <c r="AQ207" s="66">
        <f t="shared" si="142"/>
        <v>5517.2949750276139</v>
      </c>
      <c r="AR207" s="66">
        <f t="shared" si="143"/>
        <v>51.4033693325554</v>
      </c>
      <c r="AS207" s="66">
        <f t="shared" si="144"/>
        <v>1285.0842333138853</v>
      </c>
      <c r="AT207" s="66"/>
      <c r="AU207" s="4"/>
      <c r="AV207" s="4"/>
      <c r="AW207" s="4"/>
      <c r="AX207" s="4"/>
      <c r="AY207" s="4"/>
      <c r="AZ207" s="4"/>
      <c r="BA207" s="4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9">
        <f t="shared" si="111"/>
        <v>149693.62034042744</v>
      </c>
      <c r="BN207" s="9">
        <f t="shared" si="133"/>
        <v>115298.11259335102</v>
      </c>
      <c r="BO207" s="9">
        <f t="shared" si="121"/>
        <v>34118.689053303882</v>
      </c>
      <c r="BP207" s="9">
        <f t="shared" si="122"/>
        <v>276.81869377255543</v>
      </c>
      <c r="BQ207" s="10">
        <f t="shared" si="123"/>
        <v>0</v>
      </c>
      <c r="BR207" s="9">
        <f t="shared" si="124"/>
        <v>149693.62034042747</v>
      </c>
      <c r="BS207" s="142">
        <f t="shared" si="134"/>
        <v>22220.94273778101</v>
      </c>
      <c r="BT207" s="83">
        <f t="shared" si="125"/>
        <v>22221</v>
      </c>
      <c r="BU207" s="175">
        <f t="shared" si="126"/>
        <v>2.1697052340599868E-5</v>
      </c>
      <c r="BV207" s="173">
        <f t="shared" si="127"/>
        <v>5140.3100000000004</v>
      </c>
      <c r="BW207" s="176">
        <f t="shared" si="128"/>
        <v>2.9969687244396124E-5</v>
      </c>
      <c r="BX207" s="177">
        <f t="shared" si="129"/>
        <v>0</v>
      </c>
      <c r="BY207" s="178">
        <f t="shared" si="130"/>
        <v>0</v>
      </c>
      <c r="BZ207" s="4"/>
      <c r="CA207" s="4"/>
      <c r="CB207" s="4"/>
      <c r="CC207" s="4"/>
      <c r="CD207" s="4"/>
      <c r="CE207" s="4"/>
      <c r="CF207" s="4"/>
      <c r="CG207" s="126">
        <f t="shared" si="131"/>
        <v>84006.404490450004</v>
      </c>
      <c r="CH207" s="126">
        <f t="shared" si="132"/>
        <v>34598.965509549998</v>
      </c>
      <c r="CI207" s="126"/>
      <c r="CJ207" s="126"/>
      <c r="CK207" s="9"/>
      <c r="CL207" s="9"/>
      <c r="CM207" s="127"/>
      <c r="CN207" s="9"/>
      <c r="CO207" s="9"/>
      <c r="CP207" s="9"/>
      <c r="CQ207" s="126"/>
      <c r="CR207" s="126"/>
      <c r="CS207" s="126"/>
      <c r="CT207" s="126"/>
      <c r="CU207" s="126"/>
      <c r="CV207" s="9"/>
      <c r="CW207" s="9"/>
      <c r="CX207" s="127"/>
      <c r="CY207" s="67"/>
      <c r="CZ207" s="67"/>
    </row>
    <row r="208" spans="1:104" x14ac:dyDescent="0.35">
      <c r="A208" s="143">
        <v>890</v>
      </c>
      <c r="B208" s="116" t="s">
        <v>655</v>
      </c>
      <c r="C208" s="144">
        <v>3529415.9471022948</v>
      </c>
      <c r="D208" s="144">
        <v>300628.25</v>
      </c>
      <c r="E208" s="144">
        <v>153078.17000000001</v>
      </c>
      <c r="F208" s="145">
        <f t="shared" si="114"/>
        <v>453706.42000000004</v>
      </c>
      <c r="G208" s="144"/>
      <c r="H208" s="144"/>
      <c r="I208" s="145"/>
      <c r="J208" s="144">
        <v>19015.03</v>
      </c>
      <c r="K208" s="144">
        <v>10672.56</v>
      </c>
      <c r="L208" s="145">
        <f t="shared" si="115"/>
        <v>29687.589999999997</v>
      </c>
      <c r="M208" s="146">
        <v>274554.03000000003</v>
      </c>
      <c r="N208" s="146">
        <v>134485.18</v>
      </c>
      <c r="O208" s="145">
        <f t="shared" si="116"/>
        <v>409039.21</v>
      </c>
      <c r="P208" s="144">
        <v>1704774.16</v>
      </c>
      <c r="Q208" s="144">
        <v>835052.28</v>
      </c>
      <c r="R208" s="147">
        <f t="shared" si="117"/>
        <v>2539826.44</v>
      </c>
      <c r="S208" s="117">
        <v>0</v>
      </c>
      <c r="T208" s="117">
        <v>0</v>
      </c>
      <c r="U208" s="146">
        <v>0</v>
      </c>
      <c r="V208" s="146">
        <v>0</v>
      </c>
      <c r="W208" s="4"/>
      <c r="X208" s="4"/>
      <c r="Y208" s="4"/>
      <c r="Z208" s="4"/>
      <c r="AA208" s="4"/>
      <c r="AB208" s="10"/>
      <c r="AC208" s="10"/>
      <c r="AD208" s="4"/>
      <c r="AE208" s="4"/>
      <c r="AF208" s="10">
        <f t="shared" si="136"/>
        <v>29687.589999999997</v>
      </c>
      <c r="AG208" s="112">
        <f t="shared" si="136"/>
        <v>274554.03000000003</v>
      </c>
      <c r="AH208" s="112">
        <f t="shared" si="136"/>
        <v>134485.18</v>
      </c>
      <c r="AI208" s="10">
        <f t="shared" si="137"/>
        <v>239601.72373366001</v>
      </c>
      <c r="AJ208" s="10">
        <f t="shared" si="138"/>
        <v>86892.964649130008</v>
      </c>
      <c r="AK208" s="10">
        <f t="shared" si="139"/>
        <v>762.04004823000002</v>
      </c>
      <c r="AL208" s="10">
        <f t="shared" si="140"/>
        <v>81782.481568980002</v>
      </c>
      <c r="AM208" s="10">
        <f t="shared" si="118"/>
        <v>0</v>
      </c>
      <c r="AN208" s="9">
        <f t="shared" si="119"/>
        <v>0</v>
      </c>
      <c r="AO208" s="10">
        <f t="shared" si="120"/>
        <v>0</v>
      </c>
      <c r="AP208" s="66">
        <f t="shared" si="141"/>
        <v>93659.666387980556</v>
      </c>
      <c r="AQ208" s="66">
        <f t="shared" si="142"/>
        <v>31864.782128693892</v>
      </c>
      <c r="AR208" s="66">
        <f t="shared" si="143"/>
        <v>296.87685213068841</v>
      </c>
      <c r="AS208" s="66">
        <f t="shared" si="144"/>
        <v>7421.9213032672105</v>
      </c>
      <c r="AT208" s="66"/>
      <c r="AU208" s="4"/>
      <c r="AV208" s="4"/>
      <c r="AW208" s="4"/>
      <c r="AX208" s="4"/>
      <c r="AY208" s="4"/>
      <c r="AZ208" s="4"/>
      <c r="BA208" s="4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9">
        <f t="shared" si="111"/>
        <v>571970.04667207226</v>
      </c>
      <c r="BN208" s="9">
        <f t="shared" si="133"/>
        <v>446908.65381931444</v>
      </c>
      <c r="BO208" s="9">
        <f t="shared" si="121"/>
        <v>124002.47595239722</v>
      </c>
      <c r="BP208" s="9">
        <f t="shared" si="122"/>
        <v>1058.9169003606885</v>
      </c>
      <c r="BQ208" s="10">
        <f t="shared" si="123"/>
        <v>0</v>
      </c>
      <c r="BR208" s="9">
        <f t="shared" si="124"/>
        <v>571970.04667207238</v>
      </c>
      <c r="BS208" s="142">
        <f t="shared" si="134"/>
        <v>125524.44851667446</v>
      </c>
      <c r="BT208" s="83">
        <f t="shared" si="125"/>
        <v>125524</v>
      </c>
      <c r="BU208" s="175">
        <f t="shared" si="126"/>
        <v>1.2256503072934834E-4</v>
      </c>
      <c r="BV208" s="173">
        <f t="shared" si="127"/>
        <v>29687.589999999997</v>
      </c>
      <c r="BW208" s="176">
        <f t="shared" si="128"/>
        <v>1.7308835213048664E-4</v>
      </c>
      <c r="BX208" s="177">
        <f t="shared" si="129"/>
        <v>0</v>
      </c>
      <c r="BY208" s="178">
        <f t="shared" si="130"/>
        <v>0</v>
      </c>
      <c r="BZ208" s="4"/>
      <c r="CA208" s="4"/>
      <c r="CB208" s="4"/>
      <c r="CC208" s="4"/>
      <c r="CD208" s="4"/>
      <c r="CE208" s="4"/>
      <c r="CF208" s="4"/>
      <c r="CG208" s="126">
        <f t="shared" si="131"/>
        <v>321353.45168970001</v>
      </c>
      <c r="CH208" s="126">
        <f t="shared" si="132"/>
        <v>132352.96831030003</v>
      </c>
      <c r="CI208" s="126"/>
      <c r="CJ208" s="126"/>
      <c r="CK208" s="9"/>
      <c r="CL208" s="9"/>
      <c r="CM208" s="127"/>
      <c r="CN208" s="9"/>
      <c r="CO208" s="9"/>
      <c r="CP208" s="9"/>
      <c r="CQ208" s="126"/>
      <c r="CR208" s="126"/>
      <c r="CS208" s="126"/>
      <c r="CT208" s="126"/>
      <c r="CU208" s="126"/>
      <c r="CV208" s="9"/>
      <c r="CW208" s="9"/>
      <c r="CX208" s="127"/>
      <c r="CY208" s="67"/>
      <c r="CZ208" s="67"/>
    </row>
    <row r="209" spans="1:104" x14ac:dyDescent="0.35">
      <c r="A209" s="143">
        <v>891</v>
      </c>
      <c r="B209" s="116" t="s">
        <v>656</v>
      </c>
      <c r="C209" s="144">
        <v>1135287.2812135355</v>
      </c>
      <c r="D209" s="144">
        <v>127279.2</v>
      </c>
      <c r="E209" s="144">
        <v>18661.98</v>
      </c>
      <c r="F209" s="145">
        <f t="shared" si="114"/>
        <v>145941.18</v>
      </c>
      <c r="G209" s="144"/>
      <c r="H209" s="144"/>
      <c r="I209" s="145"/>
      <c r="J209" s="144">
        <v>12496.5</v>
      </c>
      <c r="K209" s="144">
        <v>3399.97</v>
      </c>
      <c r="L209" s="145">
        <f t="shared" si="115"/>
        <v>15896.47</v>
      </c>
      <c r="M209" s="146">
        <v>92372.59</v>
      </c>
      <c r="N209" s="146">
        <v>5129.25</v>
      </c>
      <c r="O209" s="145">
        <f t="shared" si="116"/>
        <v>97501.84</v>
      </c>
      <c r="P209" s="144">
        <v>573566.23</v>
      </c>
      <c r="Q209" s="144">
        <v>31848.58</v>
      </c>
      <c r="R209" s="147">
        <f t="shared" si="117"/>
        <v>605414.80999999994</v>
      </c>
      <c r="S209" s="117">
        <v>0</v>
      </c>
      <c r="T209" s="117">
        <v>0</v>
      </c>
      <c r="U209" s="146">
        <v>0</v>
      </c>
      <c r="V209" s="146">
        <v>0</v>
      </c>
      <c r="W209" s="4"/>
      <c r="X209" s="4"/>
      <c r="Y209" s="4"/>
      <c r="Z209" s="4"/>
      <c r="AA209" s="4"/>
      <c r="AB209" s="10"/>
      <c r="AC209" s="10"/>
      <c r="AD209" s="4"/>
      <c r="AE209" s="4"/>
      <c r="AF209" s="10">
        <f t="shared" si="136"/>
        <v>15896.47</v>
      </c>
      <c r="AG209" s="112">
        <f t="shared" si="136"/>
        <v>92372.59</v>
      </c>
      <c r="AH209" s="112">
        <f t="shared" si="136"/>
        <v>5129.25</v>
      </c>
      <c r="AI209" s="10">
        <f t="shared" si="137"/>
        <v>55441.350767929995</v>
      </c>
      <c r="AJ209" s="10">
        <f t="shared" si="138"/>
        <v>22384.520418229997</v>
      </c>
      <c r="AK209" s="10">
        <f t="shared" si="139"/>
        <v>181.64592791999999</v>
      </c>
      <c r="AL209" s="10">
        <f t="shared" si="140"/>
        <v>19494.322885920003</v>
      </c>
      <c r="AM209" s="10">
        <f t="shared" si="118"/>
        <v>0</v>
      </c>
      <c r="AN209" s="9">
        <f t="shared" si="119"/>
        <v>0</v>
      </c>
      <c r="AO209" s="10">
        <f t="shared" si="120"/>
        <v>0</v>
      </c>
      <c r="AP209" s="66">
        <f t="shared" si="141"/>
        <v>49378.13199220712</v>
      </c>
      <c r="AQ209" s="66">
        <f t="shared" si="142"/>
        <v>17061.893573075846</v>
      </c>
      <c r="AR209" s="66">
        <f t="shared" si="143"/>
        <v>158.96174136406066</v>
      </c>
      <c r="AS209" s="66">
        <f t="shared" si="144"/>
        <v>3974.0435341015173</v>
      </c>
      <c r="AT209" s="66"/>
      <c r="AU209" s="4"/>
      <c r="AV209" s="4"/>
      <c r="AW209" s="4"/>
      <c r="AX209" s="4"/>
      <c r="AY209" s="4"/>
      <c r="AZ209" s="4"/>
      <c r="BA209" s="4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9">
        <f t="shared" si="111"/>
        <v>183971.34084074854</v>
      </c>
      <c r="BN209" s="9">
        <f t="shared" si="133"/>
        <v>141375.69921913298</v>
      </c>
      <c r="BO209" s="9">
        <f t="shared" si="121"/>
        <v>42255.033952331512</v>
      </c>
      <c r="BP209" s="9">
        <f t="shared" si="122"/>
        <v>340.60766928406065</v>
      </c>
      <c r="BQ209" s="10">
        <f t="shared" si="123"/>
        <v>0</v>
      </c>
      <c r="BR209" s="9">
        <f t="shared" si="124"/>
        <v>183971.34084074857</v>
      </c>
      <c r="BS209" s="142">
        <f t="shared" si="134"/>
        <v>66440.025565282966</v>
      </c>
      <c r="BT209" s="83">
        <f t="shared" si="125"/>
        <v>66440</v>
      </c>
      <c r="BU209" s="175">
        <f t="shared" si="126"/>
        <v>6.487360726373447E-5</v>
      </c>
      <c r="BV209" s="173">
        <f t="shared" si="127"/>
        <v>15896.47</v>
      </c>
      <c r="BW209" s="176">
        <f t="shared" si="128"/>
        <v>9.268161534808709E-5</v>
      </c>
      <c r="BX209" s="177">
        <f t="shared" si="129"/>
        <v>0</v>
      </c>
      <c r="BY209" s="178">
        <f t="shared" si="130"/>
        <v>0</v>
      </c>
      <c r="BZ209" s="4"/>
      <c r="CA209" s="4"/>
      <c r="CB209" s="4"/>
      <c r="CC209" s="4"/>
      <c r="CD209" s="4"/>
      <c r="CE209" s="4"/>
      <c r="CF209" s="4"/>
      <c r="CG209" s="126">
        <f t="shared" si="131"/>
        <v>103367.9486763</v>
      </c>
      <c r="CH209" s="126">
        <f t="shared" si="132"/>
        <v>42573.231323699998</v>
      </c>
      <c r="CI209" s="126"/>
      <c r="CJ209" s="126"/>
      <c r="CK209" s="9"/>
      <c r="CL209" s="9"/>
      <c r="CM209" s="127"/>
      <c r="CN209" s="9"/>
      <c r="CO209" s="9"/>
      <c r="CP209" s="9"/>
      <c r="CQ209" s="126"/>
      <c r="CR209" s="126"/>
      <c r="CS209" s="126"/>
      <c r="CT209" s="126"/>
      <c r="CU209" s="126"/>
      <c r="CV209" s="9"/>
      <c r="CW209" s="9"/>
      <c r="CX209" s="127"/>
      <c r="CY209" s="67"/>
      <c r="CZ209" s="67"/>
    </row>
    <row r="210" spans="1:104" x14ac:dyDescent="0.35">
      <c r="A210" s="143">
        <v>892</v>
      </c>
      <c r="B210" s="116" t="s">
        <v>657</v>
      </c>
      <c r="C210" s="144">
        <v>2018033.4500194478</v>
      </c>
      <c r="D210" s="144">
        <v>164411.70000000001</v>
      </c>
      <c r="E210" s="144">
        <v>95006.5</v>
      </c>
      <c r="F210" s="145">
        <f t="shared" si="114"/>
        <v>259418.2</v>
      </c>
      <c r="G210" s="144"/>
      <c r="H210" s="144"/>
      <c r="I210" s="145"/>
      <c r="J210" s="144">
        <v>16031.4</v>
      </c>
      <c r="K210" s="144">
        <v>5531.76</v>
      </c>
      <c r="L210" s="145">
        <f t="shared" si="115"/>
        <v>21563.16</v>
      </c>
      <c r="M210" s="146">
        <v>119914.8</v>
      </c>
      <c r="N210" s="146">
        <v>89330.36</v>
      </c>
      <c r="O210" s="145">
        <f t="shared" si="116"/>
        <v>209245.16</v>
      </c>
      <c r="P210" s="144">
        <v>744582.14</v>
      </c>
      <c r="Q210" s="144">
        <v>554672.89</v>
      </c>
      <c r="R210" s="147">
        <f t="shared" si="117"/>
        <v>1299255.03</v>
      </c>
      <c r="S210" s="117">
        <v>0</v>
      </c>
      <c r="T210" s="117">
        <v>0</v>
      </c>
      <c r="U210" s="146">
        <v>0</v>
      </c>
      <c r="V210" s="146">
        <v>0</v>
      </c>
      <c r="W210" s="4"/>
      <c r="X210" s="4"/>
      <c r="Y210" s="4"/>
      <c r="Z210" s="4"/>
      <c r="AA210" s="4"/>
      <c r="AB210" s="10"/>
      <c r="AC210" s="10"/>
      <c r="AD210" s="4"/>
      <c r="AE210" s="4"/>
      <c r="AF210" s="10">
        <f t="shared" si="136"/>
        <v>21563.16</v>
      </c>
      <c r="AG210" s="112">
        <f t="shared" si="136"/>
        <v>119914.8</v>
      </c>
      <c r="AH210" s="112">
        <f t="shared" si="136"/>
        <v>89330.36</v>
      </c>
      <c r="AI210" s="10">
        <f t="shared" si="137"/>
        <v>123843.9597398</v>
      </c>
      <c r="AJ210" s="10">
        <f t="shared" si="138"/>
        <v>43175.317727040005</v>
      </c>
      <c r="AK210" s="10">
        <f t="shared" si="139"/>
        <v>389.82373308000001</v>
      </c>
      <c r="AL210" s="10">
        <f t="shared" si="140"/>
        <v>41836.058800080005</v>
      </c>
      <c r="AM210" s="10">
        <f t="shared" si="118"/>
        <v>0</v>
      </c>
      <c r="AN210" s="9">
        <f t="shared" si="119"/>
        <v>0</v>
      </c>
      <c r="AO210" s="10">
        <f t="shared" si="120"/>
        <v>0</v>
      </c>
      <c r="AP210" s="66">
        <f t="shared" si="141"/>
        <v>67288.672458251065</v>
      </c>
      <c r="AQ210" s="66">
        <f t="shared" si="142"/>
        <v>23144.665124626212</v>
      </c>
      <c r="AR210" s="66">
        <f t="shared" si="143"/>
        <v>215.63352600583428</v>
      </c>
      <c r="AS210" s="66">
        <f t="shared" si="144"/>
        <v>5390.8381501458571</v>
      </c>
      <c r="AT210" s="66"/>
      <c r="AU210" s="4"/>
      <c r="AV210" s="4"/>
      <c r="AW210" s="4"/>
      <c r="AX210" s="4"/>
      <c r="AY210" s="4"/>
      <c r="AZ210" s="4"/>
      <c r="BA210" s="4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9">
        <f t="shared" si="111"/>
        <v>326848.12925902888</v>
      </c>
      <c r="BN210" s="9">
        <f t="shared" si="133"/>
        <v>256113.35612275728</v>
      </c>
      <c r="BO210" s="9">
        <f t="shared" si="121"/>
        <v>70129.315877185873</v>
      </c>
      <c r="BP210" s="9">
        <f t="shared" si="122"/>
        <v>605.45725908583427</v>
      </c>
      <c r="BQ210" s="10">
        <f t="shared" si="123"/>
        <v>0</v>
      </c>
      <c r="BR210" s="9">
        <f t="shared" si="124"/>
        <v>326848.129259029</v>
      </c>
      <c r="BS210" s="142">
        <f t="shared" si="134"/>
        <v>90433.337582877284</v>
      </c>
      <c r="BT210" s="83">
        <f t="shared" si="125"/>
        <v>90433</v>
      </c>
      <c r="BU210" s="175">
        <f t="shared" si="126"/>
        <v>8.8301242752167997E-5</v>
      </c>
      <c r="BV210" s="173">
        <f t="shared" si="127"/>
        <v>21563.16</v>
      </c>
      <c r="BW210" s="176">
        <f t="shared" si="128"/>
        <v>1.2572027002279485E-4</v>
      </c>
      <c r="BX210" s="177">
        <f t="shared" si="129"/>
        <v>0</v>
      </c>
      <c r="BY210" s="178">
        <f t="shared" si="130"/>
        <v>0</v>
      </c>
      <c r="BZ210" s="4"/>
      <c r="CA210" s="4"/>
      <c r="CB210" s="4"/>
      <c r="CC210" s="4"/>
      <c r="CD210" s="4"/>
      <c r="CE210" s="4"/>
      <c r="CF210" s="4"/>
      <c r="CG210" s="126">
        <f t="shared" si="131"/>
        <v>183742.01978700003</v>
      </c>
      <c r="CH210" s="126">
        <f t="shared" si="132"/>
        <v>75676.180213</v>
      </c>
      <c r="CI210" s="126"/>
      <c r="CJ210" s="126"/>
      <c r="CK210" s="9"/>
      <c r="CL210" s="9"/>
      <c r="CM210" s="127"/>
      <c r="CN210" s="9"/>
      <c r="CO210" s="9"/>
      <c r="CP210" s="9"/>
      <c r="CQ210" s="126"/>
      <c r="CR210" s="126"/>
      <c r="CS210" s="126"/>
      <c r="CT210" s="126"/>
      <c r="CU210" s="126"/>
      <c r="CV210" s="9"/>
      <c r="CW210" s="9"/>
      <c r="CX210" s="127"/>
      <c r="CY210" s="67"/>
      <c r="CZ210" s="67"/>
    </row>
    <row r="211" spans="1:104" x14ac:dyDescent="0.35">
      <c r="A211" s="143">
        <v>894</v>
      </c>
      <c r="B211" s="116" t="s">
        <v>658</v>
      </c>
      <c r="C211" s="144">
        <v>3050100.427849086</v>
      </c>
      <c r="D211" s="144">
        <v>317381.75</v>
      </c>
      <c r="E211" s="144">
        <v>74708.66</v>
      </c>
      <c r="F211" s="145">
        <f t="shared" si="114"/>
        <v>392090.41000000003</v>
      </c>
      <c r="G211" s="144"/>
      <c r="H211" s="144"/>
      <c r="I211" s="145"/>
      <c r="J211" s="144">
        <v>42554.09</v>
      </c>
      <c r="K211" s="144">
        <v>6775.67</v>
      </c>
      <c r="L211" s="145">
        <f t="shared" si="115"/>
        <v>49329.759999999995</v>
      </c>
      <c r="M211" s="146">
        <v>169177.45</v>
      </c>
      <c r="N211" s="146">
        <v>57222</v>
      </c>
      <c r="O211" s="145">
        <f t="shared" si="116"/>
        <v>226399.45</v>
      </c>
      <c r="P211" s="144">
        <v>1050464.3999999999</v>
      </c>
      <c r="Q211" s="144">
        <v>355306.02</v>
      </c>
      <c r="R211" s="147">
        <f t="shared" si="117"/>
        <v>1405770.42</v>
      </c>
      <c r="S211" s="117">
        <v>0</v>
      </c>
      <c r="T211" s="117">
        <v>0</v>
      </c>
      <c r="U211" s="146">
        <v>0</v>
      </c>
      <c r="V211" s="146">
        <v>0</v>
      </c>
      <c r="W211" s="4"/>
      <c r="X211" s="4"/>
      <c r="Y211" s="4"/>
      <c r="Z211" s="4"/>
      <c r="AA211" s="4"/>
      <c r="AB211" s="10"/>
      <c r="AC211" s="10"/>
      <c r="AD211" s="4"/>
      <c r="AE211" s="4"/>
      <c r="AF211" s="10">
        <f t="shared" si="136"/>
        <v>49329.759999999995</v>
      </c>
      <c r="AG211" s="112">
        <f t="shared" si="136"/>
        <v>169177.45</v>
      </c>
      <c r="AH211" s="112">
        <f t="shared" si="136"/>
        <v>57222</v>
      </c>
      <c r="AI211" s="10">
        <f t="shared" si="137"/>
        <v>131548.46750240002</v>
      </c>
      <c r="AJ211" s="10">
        <f t="shared" si="138"/>
        <v>49163.347088149996</v>
      </c>
      <c r="AK211" s="10">
        <f t="shared" si="139"/>
        <v>421.78217535000005</v>
      </c>
      <c r="AL211" s="10">
        <f t="shared" si="140"/>
        <v>45265.853234100003</v>
      </c>
      <c r="AM211" s="10">
        <f t="shared" si="118"/>
        <v>0</v>
      </c>
      <c r="AN211" s="9">
        <f t="shared" si="119"/>
        <v>0</v>
      </c>
      <c r="AO211" s="10">
        <f t="shared" si="120"/>
        <v>0</v>
      </c>
      <c r="AP211" s="66">
        <f t="shared" si="141"/>
        <v>151974.82917724198</v>
      </c>
      <c r="AQ211" s="66">
        <f t="shared" si="142"/>
        <v>52947.426252740581</v>
      </c>
      <c r="AR211" s="66">
        <f t="shared" si="143"/>
        <v>493.29900235472581</v>
      </c>
      <c r="AS211" s="66">
        <f t="shared" si="144"/>
        <v>12332.475058868147</v>
      </c>
      <c r="AT211" s="66"/>
      <c r="AU211" s="4"/>
      <c r="AV211" s="4"/>
      <c r="AW211" s="4"/>
      <c r="AX211" s="4"/>
      <c r="AY211" s="4"/>
      <c r="AZ211" s="4"/>
      <c r="BA211" s="4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9">
        <f t="shared" si="111"/>
        <v>493477.23949120549</v>
      </c>
      <c r="BN211" s="9">
        <f t="shared" si="133"/>
        <v>381736.57616648253</v>
      </c>
      <c r="BO211" s="9">
        <f t="shared" si="121"/>
        <v>110825.58214701814</v>
      </c>
      <c r="BP211" s="9">
        <f t="shared" si="122"/>
        <v>915.08117770472586</v>
      </c>
      <c r="BQ211" s="10">
        <f t="shared" si="123"/>
        <v>0</v>
      </c>
      <c r="BR211" s="9">
        <f t="shared" si="124"/>
        <v>493477.23949120543</v>
      </c>
      <c r="BS211" s="142">
        <f t="shared" si="134"/>
        <v>204922.25542998256</v>
      </c>
      <c r="BT211" s="83">
        <f t="shared" si="125"/>
        <v>204922</v>
      </c>
      <c r="BU211" s="175">
        <f t="shared" si="126"/>
        <v>2.0009092117673612E-4</v>
      </c>
      <c r="BV211" s="173">
        <f t="shared" si="127"/>
        <v>49329.759999999995</v>
      </c>
      <c r="BW211" s="176">
        <f t="shared" si="128"/>
        <v>2.8760862263970885E-4</v>
      </c>
      <c r="BX211" s="177">
        <f t="shared" si="129"/>
        <v>0</v>
      </c>
      <c r="BY211" s="178">
        <f t="shared" si="130"/>
        <v>0</v>
      </c>
      <c r="BZ211" s="4"/>
      <c r="CA211" s="4"/>
      <c r="CB211" s="4"/>
      <c r="CC211" s="4"/>
      <c r="CD211" s="4"/>
      <c r="CE211" s="4"/>
      <c r="CF211" s="4"/>
      <c r="CG211" s="126">
        <f t="shared" si="131"/>
        <v>277711.75604685</v>
      </c>
      <c r="CH211" s="126">
        <f t="shared" si="132"/>
        <v>114378.65395315</v>
      </c>
      <c r="CI211" s="126"/>
      <c r="CJ211" s="126"/>
      <c r="CK211" s="9"/>
      <c r="CL211" s="9"/>
      <c r="CM211" s="127"/>
      <c r="CN211" s="9"/>
      <c r="CO211" s="9"/>
      <c r="CP211" s="9"/>
      <c r="CQ211" s="126"/>
      <c r="CR211" s="126"/>
      <c r="CS211" s="126"/>
      <c r="CT211" s="126"/>
      <c r="CU211" s="126"/>
      <c r="CV211" s="9"/>
      <c r="CW211" s="9"/>
      <c r="CX211" s="127"/>
      <c r="CY211" s="67"/>
      <c r="CZ211" s="67"/>
    </row>
    <row r="212" spans="1:104" x14ac:dyDescent="0.35">
      <c r="A212" s="143">
        <v>895</v>
      </c>
      <c r="B212" s="116" t="s">
        <v>659</v>
      </c>
      <c r="C212" s="144">
        <v>1941436.561649164</v>
      </c>
      <c r="D212" s="144">
        <v>175774.76</v>
      </c>
      <c r="E212" s="144">
        <v>73796.91</v>
      </c>
      <c r="F212" s="145">
        <f t="shared" si="114"/>
        <v>249571.67</v>
      </c>
      <c r="G212" s="144"/>
      <c r="H212" s="144"/>
      <c r="I212" s="145"/>
      <c r="J212" s="144">
        <v>26397.02</v>
      </c>
      <c r="K212" s="144">
        <v>12782.48</v>
      </c>
      <c r="L212" s="145">
        <f t="shared" si="115"/>
        <v>39179.5</v>
      </c>
      <c r="M212" s="146">
        <v>78505.66</v>
      </c>
      <c r="N212" s="146">
        <v>23833.65</v>
      </c>
      <c r="O212" s="145">
        <f t="shared" si="116"/>
        <v>102339.31</v>
      </c>
      <c r="P212" s="144">
        <v>487461.19</v>
      </c>
      <c r="Q212" s="144">
        <v>147989.34</v>
      </c>
      <c r="R212" s="147">
        <f t="shared" si="117"/>
        <v>635450.53</v>
      </c>
      <c r="S212" s="117">
        <v>0</v>
      </c>
      <c r="T212" s="117">
        <v>0</v>
      </c>
      <c r="U212" s="146">
        <v>0</v>
      </c>
      <c r="V212" s="146">
        <v>0</v>
      </c>
      <c r="W212" s="4"/>
      <c r="X212" s="4"/>
      <c r="Y212" s="4"/>
      <c r="Z212" s="4"/>
      <c r="AA212" s="4"/>
      <c r="AB212" s="10"/>
      <c r="AC212" s="10"/>
      <c r="AD212" s="4"/>
      <c r="AE212" s="4"/>
      <c r="AF212" s="10">
        <f t="shared" si="136"/>
        <v>39179.5</v>
      </c>
      <c r="AG212" s="112">
        <f t="shared" si="136"/>
        <v>78505.66</v>
      </c>
      <c r="AH212" s="112">
        <f t="shared" si="136"/>
        <v>23833.65</v>
      </c>
      <c r="AI212" s="10">
        <f t="shared" si="137"/>
        <v>59337.63641657</v>
      </c>
      <c r="AJ212" s="10">
        <f t="shared" si="138"/>
        <v>22349.498486119999</v>
      </c>
      <c r="AK212" s="10">
        <f t="shared" si="139"/>
        <v>190.65813453000001</v>
      </c>
      <c r="AL212" s="10">
        <f t="shared" si="140"/>
        <v>20461.516962780002</v>
      </c>
      <c r="AM212" s="10">
        <f t="shared" si="118"/>
        <v>0</v>
      </c>
      <c r="AN212" s="9">
        <f t="shared" si="119"/>
        <v>0</v>
      </c>
      <c r="AO212" s="10">
        <f t="shared" si="120"/>
        <v>0</v>
      </c>
      <c r="AP212" s="66">
        <f t="shared" si="141"/>
        <v>123170.85123439849</v>
      </c>
      <c r="AQ212" s="66">
        <f t="shared" si="142"/>
        <v>42052.750219103073</v>
      </c>
      <c r="AR212" s="66">
        <f t="shared" si="143"/>
        <v>391.79580949474911</v>
      </c>
      <c r="AS212" s="66">
        <f t="shared" si="144"/>
        <v>9794.895237368728</v>
      </c>
      <c r="AT212" s="66"/>
      <c r="AU212" s="4"/>
      <c r="AV212" s="4"/>
      <c r="AW212" s="4"/>
      <c r="AX212" s="4"/>
      <c r="AY212" s="4"/>
      <c r="AZ212" s="4"/>
      <c r="BA212" s="4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9">
        <f t="shared" si="111"/>
        <v>316929.102500365</v>
      </c>
      <c r="BN212" s="9">
        <f t="shared" si="133"/>
        <v>245022.75483285155</v>
      </c>
      <c r="BO212" s="9">
        <f t="shared" si="121"/>
        <v>71323.893723488727</v>
      </c>
      <c r="BP212" s="9">
        <f t="shared" si="122"/>
        <v>582.45394402474915</v>
      </c>
      <c r="BQ212" s="10">
        <f t="shared" si="123"/>
        <v>0</v>
      </c>
      <c r="BR212" s="9">
        <f t="shared" si="124"/>
        <v>316929.102500365</v>
      </c>
      <c r="BS212" s="142">
        <f t="shared" si="134"/>
        <v>165223.60145350156</v>
      </c>
      <c r="BT212" s="83">
        <f t="shared" si="125"/>
        <v>165224</v>
      </c>
      <c r="BU212" s="175">
        <f t="shared" si="126"/>
        <v>1.6132821955136461E-4</v>
      </c>
      <c r="BV212" s="173">
        <f t="shared" si="127"/>
        <v>39179.5</v>
      </c>
      <c r="BW212" s="176">
        <f t="shared" si="128"/>
        <v>2.2842928955487467E-4</v>
      </c>
      <c r="BX212" s="177">
        <f t="shared" si="129"/>
        <v>0</v>
      </c>
      <c r="BY212" s="178">
        <f t="shared" si="130"/>
        <v>0</v>
      </c>
      <c r="BZ212" s="4"/>
      <c r="CA212" s="4"/>
      <c r="CB212" s="4"/>
      <c r="CC212" s="4"/>
      <c r="CD212" s="4"/>
      <c r="CE212" s="4"/>
      <c r="CF212" s="4"/>
      <c r="CG212" s="126">
        <f t="shared" si="131"/>
        <v>176767.87028595002</v>
      </c>
      <c r="CH212" s="126">
        <f t="shared" si="132"/>
        <v>72803.799714050008</v>
      </c>
      <c r="CI212" s="126"/>
      <c r="CJ212" s="126"/>
      <c r="CK212" s="9"/>
      <c r="CL212" s="9"/>
      <c r="CM212" s="127"/>
      <c r="CN212" s="9"/>
      <c r="CO212" s="9"/>
      <c r="CP212" s="9"/>
      <c r="CQ212" s="126"/>
      <c r="CR212" s="126"/>
      <c r="CS212" s="126"/>
      <c r="CT212" s="126"/>
      <c r="CU212" s="126"/>
      <c r="CV212" s="9"/>
      <c r="CW212" s="9"/>
      <c r="CX212" s="127"/>
      <c r="CY212" s="67"/>
      <c r="CZ212" s="67"/>
    </row>
    <row r="213" spans="1:104" x14ac:dyDescent="0.35">
      <c r="A213" s="153">
        <v>896</v>
      </c>
      <c r="B213" s="122" t="s">
        <v>660</v>
      </c>
      <c r="C213" s="154">
        <v>1000537.2228704784</v>
      </c>
      <c r="D213" s="154">
        <v>73001.42</v>
      </c>
      <c r="E213" s="154">
        <v>55617.64</v>
      </c>
      <c r="F213" s="155">
        <f t="shared" si="114"/>
        <v>128619.06</v>
      </c>
      <c r="G213" s="154">
        <v>91457.27</v>
      </c>
      <c r="H213" s="154">
        <v>69678.7</v>
      </c>
      <c r="I213" s="155">
        <f>G213+H213</f>
        <v>161135.97</v>
      </c>
      <c r="J213" s="154">
        <v>0</v>
      </c>
      <c r="K213" s="154">
        <v>0</v>
      </c>
      <c r="L213" s="155">
        <f t="shared" si="115"/>
        <v>0</v>
      </c>
      <c r="M213" s="156">
        <v>0</v>
      </c>
      <c r="N213" s="156">
        <v>0</v>
      </c>
      <c r="O213" s="155">
        <f t="shared" si="116"/>
        <v>0</v>
      </c>
      <c r="P213" s="154">
        <v>0</v>
      </c>
      <c r="Q213" s="154">
        <v>0</v>
      </c>
      <c r="R213" s="157">
        <f t="shared" si="117"/>
        <v>0</v>
      </c>
      <c r="S213" s="123">
        <v>0</v>
      </c>
      <c r="T213" s="123">
        <v>0</v>
      </c>
      <c r="U213" s="156">
        <v>0</v>
      </c>
      <c r="V213" s="156">
        <v>0</v>
      </c>
      <c r="W213" s="10">
        <f t="shared" ref="W213:X213" si="145">G213</f>
        <v>91457.27</v>
      </c>
      <c r="X213" s="10">
        <f t="shared" si="145"/>
        <v>69678.7</v>
      </c>
      <c r="Y213" s="10">
        <f t="shared" ref="Y213" si="146">(W213*0.565352)+(X213*0.627445)</f>
        <v>95425.102430539991</v>
      </c>
      <c r="Z213" s="10"/>
      <c r="AA213" s="10"/>
      <c r="AB213" s="10"/>
      <c r="AC213" s="10">
        <f t="shared" ref="AC213" si="147">(W213*0.232847)+(X213*0.170754)</f>
        <v>33193.467687490003</v>
      </c>
      <c r="AD213" s="10">
        <f t="shared" ref="AD213" si="148">(W213*0.001863)+(X213*0.001863)</f>
        <v>300.19631211000001</v>
      </c>
      <c r="AE213" s="10">
        <f t="shared" ref="AE213" si="149">(W213*0.199938)+(X213*0.199938)</f>
        <v>32217.203569860001</v>
      </c>
      <c r="AF213" s="4"/>
      <c r="AG213" s="112"/>
      <c r="AH213" s="112"/>
      <c r="AI213" s="10"/>
      <c r="AJ213" s="10"/>
      <c r="AK213" s="10">
        <f t="shared" si="139"/>
        <v>0</v>
      </c>
      <c r="AL213" s="10">
        <f t="shared" si="140"/>
        <v>0</v>
      </c>
      <c r="AM213" s="10">
        <f t="shared" si="118"/>
        <v>0</v>
      </c>
      <c r="AN213" s="9">
        <f t="shared" si="119"/>
        <v>0</v>
      </c>
      <c r="AO213" s="10">
        <f t="shared" si="120"/>
        <v>0</v>
      </c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4">
        <v>27099.16</v>
      </c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9">
        <f t="shared" si="111"/>
        <v>188235.13</v>
      </c>
      <c r="BN213" s="9">
        <f t="shared" si="133"/>
        <v>154741.46600039999</v>
      </c>
      <c r="BO213" s="9">
        <f t="shared" si="121"/>
        <v>33193.467687490003</v>
      </c>
      <c r="BP213" s="9">
        <f t="shared" si="122"/>
        <v>300.19631211000001</v>
      </c>
      <c r="BQ213" s="10">
        <f t="shared" si="123"/>
        <v>0</v>
      </c>
      <c r="BR213" s="9">
        <f t="shared" si="124"/>
        <v>188235.13</v>
      </c>
      <c r="BS213" s="142">
        <f t="shared" si="134"/>
        <v>127642.30600039999</v>
      </c>
      <c r="BT213" s="83">
        <f t="shared" si="125"/>
        <v>127642</v>
      </c>
      <c r="BU213" s="175">
        <f t="shared" si="126"/>
        <v>1.2463295670425288E-4</v>
      </c>
      <c r="BV213" s="173">
        <f t="shared" si="127"/>
        <v>33193.467687490003</v>
      </c>
      <c r="BW213" s="176">
        <f t="shared" si="128"/>
        <v>1.9352876483150704E-4</v>
      </c>
      <c r="BX213" s="177">
        <f t="shared" si="129"/>
        <v>300.19631211000001</v>
      </c>
      <c r="BY213" s="178">
        <f t="shared" si="130"/>
        <v>3.1057534596570997E-4</v>
      </c>
      <c r="BZ213" s="4"/>
      <c r="CA213" s="4"/>
      <c r="CB213" s="4"/>
      <c r="CC213" s="4"/>
      <c r="CD213" s="4"/>
      <c r="CE213" s="4"/>
      <c r="CF213" s="4"/>
      <c r="CG213" s="126">
        <f t="shared" si="131"/>
        <v>91098.950912100001</v>
      </c>
      <c r="CH213" s="126">
        <f t="shared" si="132"/>
        <v>37520.109087899997</v>
      </c>
      <c r="CI213" s="126"/>
      <c r="CJ213" s="126"/>
      <c r="CK213" s="9"/>
      <c r="CL213" s="9"/>
      <c r="CM213" s="127"/>
      <c r="CN213" s="9"/>
      <c r="CO213" s="9"/>
      <c r="CP213" s="9"/>
      <c r="CQ213" s="126"/>
      <c r="CR213" s="126"/>
      <c r="CS213" s="126"/>
      <c r="CT213" s="126"/>
      <c r="CU213" s="126"/>
      <c r="CV213" s="9"/>
      <c r="CW213" s="9"/>
      <c r="CX213" s="127"/>
      <c r="CY213" s="70"/>
      <c r="CZ213" s="70"/>
    </row>
    <row r="214" spans="1:104" x14ac:dyDescent="0.35">
      <c r="A214" s="73"/>
      <c r="B214" s="73" t="s">
        <v>298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10">
        <v>498537600</v>
      </c>
      <c r="AU214" s="10">
        <v>63875700</v>
      </c>
      <c r="AV214" s="10">
        <v>48413900</v>
      </c>
      <c r="AW214" s="10">
        <v>628700</v>
      </c>
      <c r="AX214" s="10">
        <v>53454167.509999998</v>
      </c>
      <c r="AY214" s="10">
        <v>74192.289999999994</v>
      </c>
      <c r="AZ214" s="10">
        <v>-220001.16</v>
      </c>
      <c r="BA214" s="140"/>
      <c r="BB214" s="10">
        <v>12201.02</v>
      </c>
      <c r="BC214" s="10">
        <v>1006.93</v>
      </c>
      <c r="BD214" s="10">
        <v>8656.4599999999991</v>
      </c>
      <c r="BE214" s="10">
        <v>84092.43</v>
      </c>
      <c r="BF214" s="10">
        <v>28858.68</v>
      </c>
      <c r="BG214" s="10"/>
      <c r="BH214" s="4">
        <v>327.42</v>
      </c>
      <c r="BI214" s="10">
        <v>-2197.79</v>
      </c>
      <c r="BJ214" s="10">
        <v>5110.6899999999996</v>
      </c>
      <c r="BK214" s="10">
        <v>220001.16</v>
      </c>
      <c r="BL214" s="10">
        <v>77527.16</v>
      </c>
      <c r="BM214" s="9">
        <f t="shared" si="111"/>
        <v>665199842.79999983</v>
      </c>
      <c r="BN214" s="9">
        <f>Y214+AE214+AI214+AL214+AM214+AN214+AO214+AP214+AQ214+AU214+AV214+AW214+AY214+AZ214+BA214+BB214+BE214+BF214+BG214+BI214+Z214+AA214+AT214+BC214</f>
        <v>611434052.39999998</v>
      </c>
      <c r="BO214" s="9">
        <f t="shared" si="121"/>
        <v>53540351.129999995</v>
      </c>
      <c r="BP214" s="9">
        <f t="shared" si="122"/>
        <v>5438.11</v>
      </c>
      <c r="BQ214" s="10">
        <f t="shared" si="123"/>
        <v>220001.16</v>
      </c>
      <c r="BR214" s="9">
        <f t="shared" si="124"/>
        <v>665199842.79999995</v>
      </c>
      <c r="BS214" s="142">
        <f t="shared" si="134"/>
        <v>611455900</v>
      </c>
      <c r="BT214" s="83">
        <f t="shared" si="125"/>
        <v>611455900</v>
      </c>
      <c r="BU214" s="175">
        <f t="shared" si="126"/>
        <v>0.59703995563211754</v>
      </c>
      <c r="BV214" s="173">
        <f>AB214+AC214+AF214+AX214+AS214+AS5</f>
        <v>75496731.352317572</v>
      </c>
      <c r="BW214" s="176">
        <f t="shared" si="128"/>
        <v>0.44017061745364633</v>
      </c>
      <c r="BX214" s="177">
        <f>AD214+AR5</f>
        <v>881702.55369270244</v>
      </c>
      <c r="BY214" s="178">
        <f t="shared" si="130"/>
        <v>0.91218667453722913</v>
      </c>
      <c r="BZ214" s="4"/>
      <c r="CA214" s="4"/>
      <c r="CB214" s="4"/>
      <c r="CC214" s="4"/>
      <c r="CD214" s="4"/>
      <c r="CE214" s="4"/>
      <c r="CF214" s="4"/>
      <c r="CI214" s="4"/>
      <c r="CJ214" s="4"/>
      <c r="CK214" s="4"/>
      <c r="CL214" s="4"/>
      <c r="CM214" s="4"/>
      <c r="CN214" s="4"/>
      <c r="CO214" s="4"/>
      <c r="CP214" s="4"/>
    </row>
    <row r="215" spans="1:104" x14ac:dyDescent="0.35">
      <c r="AP215" s="52">
        <v>259623258.08000001</v>
      </c>
      <c r="AQ215" s="52">
        <v>90125774.870000005</v>
      </c>
      <c r="AR215" s="52">
        <v>839681.13</v>
      </c>
      <c r="AS215" s="52">
        <v>20992028.309999999</v>
      </c>
      <c r="BS215" s="66"/>
      <c r="BT215" s="66">
        <f>SUM(BT6:BT214)</f>
        <v>1024145696</v>
      </c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I215" s="4"/>
      <c r="CJ215" s="4"/>
      <c r="CK215" s="4"/>
      <c r="CL215" s="4"/>
      <c r="CM215" s="4"/>
      <c r="CN215" s="4"/>
      <c r="CO215" s="4"/>
      <c r="CP215" s="4"/>
    </row>
    <row r="216" spans="1:104" x14ac:dyDescent="0.35">
      <c r="B216" s="64" t="s">
        <v>402</v>
      </c>
      <c r="C216" s="52">
        <f>SUM(C6:C214)</f>
        <v>3480696465.8004184</v>
      </c>
    </row>
    <row r="218" spans="1:104" x14ac:dyDescent="0.35">
      <c r="B218" s="52" t="s">
        <v>6</v>
      </c>
      <c r="C218" s="52">
        <v>3352205981.9200001</v>
      </c>
    </row>
    <row r="219" spans="1:104" x14ac:dyDescent="0.35">
      <c r="B219" s="52" t="s">
        <v>7</v>
      </c>
      <c r="C219" s="52">
        <f>C216-C218</f>
        <v>128490483.8804183</v>
      </c>
    </row>
    <row r="220" spans="1:104" x14ac:dyDescent="0.35">
      <c r="C220" s="74">
        <f>C219/C218</f>
        <v>3.8330127854143511E-2</v>
      </c>
      <c r="D220" s="74"/>
      <c r="E220" s="74"/>
    </row>
    <row r="222" spans="1:104" x14ac:dyDescent="0.35">
      <c r="B222" s="64" t="s">
        <v>8</v>
      </c>
      <c r="C222" s="74">
        <v>0.1042</v>
      </c>
      <c r="D222" s="74"/>
      <c r="E222" s="74"/>
    </row>
    <row r="223" spans="1:104" x14ac:dyDescent="0.35">
      <c r="C223" s="52">
        <f>C216*C222</f>
        <v>362688571.73640358</v>
      </c>
    </row>
    <row r="225" spans="2:71" x14ac:dyDescent="0.35">
      <c r="B225" s="52">
        <v>15</v>
      </c>
      <c r="C225" s="52">
        <v>140000000</v>
      </c>
      <c r="D225" s="52">
        <f>C225*12</f>
        <v>1680000000</v>
      </c>
    </row>
    <row r="226" spans="2:71" x14ac:dyDescent="0.35">
      <c r="B226" s="52">
        <v>16</v>
      </c>
      <c r="C226" s="52">
        <f>C225*1.06</f>
        <v>148400000</v>
      </c>
      <c r="D226" s="52">
        <f>C226*12</f>
        <v>1780800000</v>
      </c>
    </row>
    <row r="227" spans="2:71" x14ac:dyDescent="0.35">
      <c r="B227" s="52">
        <v>17</v>
      </c>
      <c r="C227" s="52">
        <f>C226*1.06</f>
        <v>157304000</v>
      </c>
      <c r="D227" s="52">
        <f>C227*12</f>
        <v>1887648000</v>
      </c>
      <c r="AW227" s="52" t="s">
        <v>88</v>
      </c>
    </row>
    <row r="228" spans="2:71" x14ac:dyDescent="0.35">
      <c r="B228" s="52">
        <v>18</v>
      </c>
      <c r="C228" s="52">
        <f>C227*1.06</f>
        <v>166742240</v>
      </c>
      <c r="D228" s="52">
        <f>C228*12</f>
        <v>2000906880</v>
      </c>
      <c r="AW228" s="52" t="s">
        <v>89</v>
      </c>
    </row>
    <row r="230" spans="2:71" x14ac:dyDescent="0.35">
      <c r="AW230" s="52" t="s">
        <v>90</v>
      </c>
    </row>
    <row r="231" spans="2:71" x14ac:dyDescent="0.35">
      <c r="BS231" s="52">
        <v>3</v>
      </c>
    </row>
    <row r="234" spans="2:71" x14ac:dyDescent="0.35">
      <c r="B234" s="75" t="s">
        <v>9</v>
      </c>
      <c r="C234" s="75">
        <f>SUM(C6:C178)</f>
        <v>3179392628.6269927</v>
      </c>
      <c r="D234" s="75">
        <f>SUM(D6:D178)</f>
        <v>298019443.18999982</v>
      </c>
      <c r="E234" s="75">
        <f>SUM(E6:E178)</f>
        <v>110691479.21999995</v>
      </c>
      <c r="F234" s="75">
        <f>SUM(F6:F178)</f>
        <v>408710922.40999985</v>
      </c>
      <c r="G234" s="75"/>
      <c r="H234" s="75"/>
      <c r="I234" s="75"/>
      <c r="J234" s="75"/>
      <c r="K234" s="75"/>
      <c r="L234" s="75">
        <f>SUM(L6:L178)</f>
        <v>87924842.010000005</v>
      </c>
      <c r="M234" s="75">
        <f>SUM(M6:M178)</f>
        <v>25515214.449999984</v>
      </c>
      <c r="N234" s="75">
        <f>SUM(N6:N178)</f>
        <v>14518814.799999997</v>
      </c>
      <c r="O234" s="75">
        <f>SUM(O6:O178)</f>
        <v>40034029.250000007</v>
      </c>
      <c r="P234" s="75"/>
      <c r="Q234" s="75"/>
      <c r="R234" s="75">
        <f>SUM(R6:R178)</f>
        <v>248581280.61999986</v>
      </c>
      <c r="S234" s="75"/>
      <c r="T234" s="75"/>
    </row>
    <row r="235" spans="2:71" x14ac:dyDescent="0.35">
      <c r="B235" s="75" t="s">
        <v>10</v>
      </c>
      <c r="C235" s="75">
        <f>SUM(C205:C212)</f>
        <v>18463065.422014777</v>
      </c>
      <c r="D235" s="75">
        <f>SUM(D205:D212)</f>
        <v>1710695.49</v>
      </c>
      <c r="E235" s="75">
        <f>SUM(E205:E212)</f>
        <v>662731.57000000007</v>
      </c>
      <c r="F235" s="75">
        <f>SUM(F205:F212)</f>
        <v>2373427.06</v>
      </c>
      <c r="G235" s="75"/>
      <c r="H235" s="75"/>
      <c r="I235" s="75"/>
      <c r="J235" s="75"/>
      <c r="K235" s="75"/>
      <c r="L235" s="75">
        <f>SUM(L205:L212)</f>
        <v>245915.28999999998</v>
      </c>
      <c r="M235" s="75">
        <f>SUM(M205:M212)</f>
        <v>1131081.23</v>
      </c>
      <c r="N235" s="75">
        <f>SUM(N205:N212)</f>
        <v>522242.61</v>
      </c>
      <c r="O235" s="75">
        <f>SUM(O205:O212)</f>
        <v>1653323.84</v>
      </c>
      <c r="P235" s="75"/>
      <c r="Q235" s="75"/>
      <c r="R235" s="75">
        <f>SUM(R205:R212)</f>
        <v>10265901.119999999</v>
      </c>
      <c r="S235" s="75"/>
      <c r="T235" s="75"/>
    </row>
    <row r="236" spans="2:71" x14ac:dyDescent="0.35">
      <c r="B236" s="75"/>
      <c r="C236" s="75">
        <f>SUM(C234:C235)</f>
        <v>3197855694.0490074</v>
      </c>
      <c r="D236" s="75">
        <f>SUM(D234:D235)</f>
        <v>299730138.67999983</v>
      </c>
      <c r="E236" s="75">
        <f>SUM(E234:E235)</f>
        <v>111354210.78999995</v>
      </c>
      <c r="F236" s="75">
        <f>SUM(F234:F235)</f>
        <v>411084349.46999985</v>
      </c>
      <c r="G236" s="75"/>
      <c r="H236" s="75"/>
      <c r="I236" s="75"/>
      <c r="J236" s="75"/>
      <c r="K236" s="75"/>
      <c r="L236" s="75">
        <f>SUM(L234:L235)</f>
        <v>88170757.300000012</v>
      </c>
      <c r="M236" s="75"/>
      <c r="N236" s="75"/>
      <c r="O236" s="75">
        <f>SUM(O234:O235)</f>
        <v>41687353.090000011</v>
      </c>
      <c r="P236" s="75"/>
      <c r="Q236" s="75"/>
      <c r="R236" s="75">
        <f>SUM(R234:R235)</f>
        <v>258847181.73999986</v>
      </c>
      <c r="S236" s="75"/>
      <c r="T236" s="75"/>
    </row>
    <row r="237" spans="2:71" x14ac:dyDescent="0.3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6">
        <f>O236/R236</f>
        <v>0.16105005590469612</v>
      </c>
      <c r="P237" s="75"/>
      <c r="Q237" s="75"/>
      <c r="R237" s="75"/>
      <c r="S237" s="75"/>
      <c r="T237" s="75"/>
    </row>
    <row r="238" spans="2:71" x14ac:dyDescent="0.35">
      <c r="B238" s="75" t="s">
        <v>403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>
        <f>M234/0.15355</f>
        <v>166168768.80494943</v>
      </c>
      <c r="N238" s="75">
        <f>N234/0.15355</f>
        <v>94554313.253012031</v>
      </c>
      <c r="O238" s="75">
        <f>O234*'[1]On Behalf'!I371</f>
        <v>32944742.231277391</v>
      </c>
      <c r="P238" s="75"/>
      <c r="Q238" s="75"/>
      <c r="R238" s="75">
        <f>R234*'[1]On Behalf'!I371</f>
        <v>204562127.94385976</v>
      </c>
      <c r="S238" s="75"/>
      <c r="T238" s="75">
        <f>F238-O238</f>
        <v>-32944742.231277391</v>
      </c>
      <c r="U238" s="52">
        <f>T238/0.11355</f>
        <v>-290134233.65281719</v>
      </c>
      <c r="V238" s="52">
        <f>U238*0.015</f>
        <v>-4352013.5047922581</v>
      </c>
    </row>
    <row r="239" spans="2:71" x14ac:dyDescent="0.35">
      <c r="B239" s="75" t="s">
        <v>404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>
        <f>M235/0.15355</f>
        <v>7366207.9452946922</v>
      </c>
      <c r="N239" s="75">
        <f>N235/0.15355</f>
        <v>3401124.1289482256</v>
      </c>
      <c r="O239" s="75">
        <f>O235*'[1]On Behalf'!I371</f>
        <v>1360550.7303171514</v>
      </c>
      <c r="P239" s="75"/>
      <c r="Q239" s="75"/>
      <c r="R239" s="75">
        <f>R235*'[1]On Behalf'!I371</f>
        <v>8447999.6769293901</v>
      </c>
      <c r="S239" s="75"/>
      <c r="T239" s="75">
        <f>F239-O239</f>
        <v>-1360550.7303171514</v>
      </c>
      <c r="U239" s="52">
        <f>T239/0.11355</f>
        <v>-11981952.710851179</v>
      </c>
      <c r="V239" s="52">
        <f>U239*0.015</f>
        <v>-179729.29066276769</v>
      </c>
    </row>
    <row r="240" spans="2:71" x14ac:dyDescent="0.3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>
        <f>SUM(O238:O239)</f>
        <v>34305292.961594544</v>
      </c>
      <c r="P240" s="75"/>
      <c r="Q240" s="75"/>
      <c r="R240" s="75">
        <f>SUM(R238:R239)</f>
        <v>213010127.62078914</v>
      </c>
      <c r="S240" s="75"/>
      <c r="T240" s="75"/>
    </row>
    <row r="241" spans="2:22" x14ac:dyDescent="0.35">
      <c r="B241" s="75" t="s">
        <v>405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>
        <f>M238*0.12105</f>
        <v>20114729.463839129</v>
      </c>
      <c r="N241" s="75">
        <f>N238*0.12105</f>
        <v>11445799.619277107</v>
      </c>
      <c r="O241" s="75"/>
      <c r="P241" s="75"/>
      <c r="Q241" s="75"/>
      <c r="R241" s="75"/>
      <c r="S241" s="75"/>
      <c r="T241" s="75"/>
    </row>
    <row r="242" spans="2:22" ht="15.45" x14ac:dyDescent="0.5">
      <c r="B242" s="75" t="s">
        <v>406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7">
        <f>M239*0.12105</f>
        <v>891679.47177792247</v>
      </c>
      <c r="N242" s="77">
        <f>N239*0.12105</f>
        <v>411706.07580918272</v>
      </c>
      <c r="O242" s="75">
        <f>O234*'[1]On Behalf'!$I$372</f>
        <v>7089287.0187226143</v>
      </c>
      <c r="P242" s="75"/>
      <c r="Q242" s="75"/>
      <c r="R242" s="75">
        <f>R234*'[1]On Behalf'!$I$372</f>
        <v>44019152.676140085</v>
      </c>
      <c r="S242" s="75"/>
      <c r="T242" s="75">
        <f>F242-O242</f>
        <v>-7089287.0187226143</v>
      </c>
      <c r="U242" s="52">
        <f t="shared" ref="U242:U243" si="150">T242/0.11355</f>
        <v>-62433174.977742091</v>
      </c>
      <c r="V242" s="52">
        <f>U242*0.015</f>
        <v>-936497.62466613133</v>
      </c>
    </row>
    <row r="243" spans="2:22" x14ac:dyDescent="0.3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>
        <f>SUM(M241:M242)</f>
        <v>21006408.935617052</v>
      </c>
      <c r="N243" s="75">
        <f>SUM(N241:N242)</f>
        <v>11857505.695086289</v>
      </c>
      <c r="O243" s="75">
        <f>O235*'[1]On Behalf'!$I$372</f>
        <v>292773.10968284868</v>
      </c>
      <c r="P243" s="75"/>
      <c r="Q243" s="75"/>
      <c r="R243" s="75">
        <f>R235*'[1]On Behalf'!$I$372</f>
        <v>1817901.443070608</v>
      </c>
      <c r="S243" s="75"/>
      <c r="T243" s="75">
        <f>F243-O243</f>
        <v>-292773.10968284868</v>
      </c>
      <c r="U243" s="52">
        <f t="shared" si="150"/>
        <v>-2578362.9210290504</v>
      </c>
      <c r="V243" s="52">
        <f>U243*0.015</f>
        <v>-38675.443815435756</v>
      </c>
    </row>
    <row r="244" spans="2:22" x14ac:dyDescent="0.35">
      <c r="B244" s="75" t="s">
        <v>407</v>
      </c>
      <c r="C244" s="75"/>
      <c r="D244" s="75">
        <f>D234-M241</f>
        <v>277904713.72616071</v>
      </c>
      <c r="E244" s="75">
        <f>E234-N241</f>
        <v>99245679.600722849</v>
      </c>
      <c r="F244" s="75"/>
      <c r="G244" s="75"/>
      <c r="H244" s="75"/>
      <c r="I244" s="75"/>
      <c r="J244" s="75"/>
      <c r="K244" s="75"/>
      <c r="L244" s="75"/>
      <c r="M244" s="75"/>
      <c r="N244" s="75"/>
      <c r="O244" s="75">
        <f t="shared" ref="O244:R244" si="151">SUM(O242:O243)</f>
        <v>7382060.128405463</v>
      </c>
      <c r="P244" s="75"/>
      <c r="Q244" s="75"/>
      <c r="R244" s="75">
        <f t="shared" si="151"/>
        <v>45837054.11921069</v>
      </c>
      <c r="S244" s="75"/>
      <c r="T244" s="75"/>
      <c r="V244" s="52">
        <f>SUM(V238:V243)</f>
        <v>-5506915.8639365928</v>
      </c>
    </row>
    <row r="245" spans="2:22" ht="15.45" x14ac:dyDescent="0.5">
      <c r="B245" s="75" t="s">
        <v>408</v>
      </c>
      <c r="C245" s="75"/>
      <c r="D245" s="77">
        <f>D235-M242</f>
        <v>819016.01822207752</v>
      </c>
      <c r="E245" s="77">
        <f>E235-N242</f>
        <v>251025.49419081735</v>
      </c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</row>
    <row r="246" spans="2:22" x14ac:dyDescent="0.35">
      <c r="B246" s="75"/>
      <c r="C246" s="75"/>
      <c r="D246" s="75">
        <f>SUM(D244:D245)</f>
        <v>278723729.7443828</v>
      </c>
      <c r="E246" s="75">
        <f>SUM(E244:E245)</f>
        <v>99496705.094913661</v>
      </c>
      <c r="F246" s="75"/>
      <c r="G246" s="75"/>
      <c r="H246" s="75"/>
      <c r="I246" s="75"/>
      <c r="J246" s="75"/>
      <c r="K246" s="75"/>
      <c r="L246" s="75"/>
      <c r="M246" s="75"/>
      <c r="N246" s="75"/>
      <c r="O246" s="75">
        <f>O240+O244</f>
        <v>41687353.090000004</v>
      </c>
      <c r="P246" s="75"/>
      <c r="Q246" s="75"/>
      <c r="R246" s="75">
        <f>R240+R244</f>
        <v>258847181.73999983</v>
      </c>
      <c r="S246" s="75"/>
      <c r="T246" s="75"/>
    </row>
    <row r="249" spans="2:22" x14ac:dyDescent="0.35">
      <c r="B249" s="68" t="s">
        <v>13</v>
      </c>
      <c r="C249" s="68">
        <f>SUM(C184:C196)+C198+C199+C213</f>
        <v>79528405.912096471</v>
      </c>
      <c r="D249" s="68">
        <f>SUM(D184:D196)+D198+D199+D213</f>
        <v>7958419.9699999997</v>
      </c>
      <c r="E249" s="68">
        <f>SUM(E184:E196)+E198+E199+E213</f>
        <v>2264956.61</v>
      </c>
      <c r="F249" s="68">
        <f>SUM(F184:F195,F198,F199,F213,F196)</f>
        <v>10223376.58</v>
      </c>
      <c r="G249" s="68"/>
      <c r="H249" s="68"/>
      <c r="I249" s="68">
        <f>SUM(I184:I195,I198,I199,I213,I196)</f>
        <v>12808044.799999999</v>
      </c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</row>
    <row r="250" spans="2:22" x14ac:dyDescent="0.35">
      <c r="B250" s="68"/>
      <c r="C250" s="68"/>
      <c r="D250" s="68"/>
      <c r="E250" s="68"/>
      <c r="F250" s="78">
        <f>F249/C249</f>
        <v>0.12855</v>
      </c>
      <c r="G250" s="68"/>
      <c r="H250" s="68"/>
      <c r="I250" s="78">
        <f>I249/C249</f>
        <v>0.16104993747965798</v>
      </c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</row>
    <row r="251" spans="2:22" x14ac:dyDescent="0.35">
      <c r="B251" s="68" t="s">
        <v>11</v>
      </c>
      <c r="C251" s="68"/>
      <c r="D251" s="68"/>
      <c r="E251" s="68"/>
      <c r="F251" s="68">
        <f>F249*'[1]On Behalf'!$I$371</f>
        <v>8413005.4473939352</v>
      </c>
      <c r="G251" s="68"/>
      <c r="H251" s="68"/>
      <c r="I251" s="68">
        <f>I249*'[1]On Behalf'!$I$371</f>
        <v>10539976.673036294</v>
      </c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</row>
    <row r="252" spans="2:22" x14ac:dyDescent="0.35">
      <c r="B252" s="68" t="s">
        <v>12</v>
      </c>
      <c r="C252" s="68"/>
      <c r="D252" s="68"/>
      <c r="E252" s="68"/>
      <c r="F252" s="68">
        <f>F249*'[1]On Behalf'!$I$372</f>
        <v>1810371.1326060637</v>
      </c>
      <c r="G252" s="68"/>
      <c r="H252" s="68"/>
      <c r="I252" s="68">
        <f>I249*'[1]On Behalf'!$I$372</f>
        <v>2268068.1269637044</v>
      </c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</row>
    <row r="253" spans="2:22" x14ac:dyDescent="0.35">
      <c r="B253" s="68"/>
      <c r="C253" s="68"/>
      <c r="D253" s="68"/>
      <c r="E253" s="68"/>
      <c r="F253" s="68">
        <f>SUM(F251:F252)</f>
        <v>10223376.579999998</v>
      </c>
      <c r="G253" s="68"/>
      <c r="H253" s="68"/>
      <c r="I253" s="68">
        <f>SUM(I251:I252)</f>
        <v>12808044.799999999</v>
      </c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</row>
    <row r="256" spans="2:22" x14ac:dyDescent="0.35">
      <c r="B256" s="61" t="s">
        <v>14</v>
      </c>
      <c r="C256" s="61">
        <f>SUM(C179:C183)+C197</f>
        <v>200728378.9859499</v>
      </c>
      <c r="D256" s="61">
        <f>SUM(D179:D183)+D197</f>
        <v>11395497.27</v>
      </c>
      <c r="E256" s="61">
        <f>SUM(E179:E183)+E197</f>
        <v>5034120.55</v>
      </c>
      <c r="F256" s="61">
        <f>SUM(F179:F183,F197)</f>
        <v>16429617.82</v>
      </c>
      <c r="G256" s="61"/>
      <c r="H256" s="61"/>
      <c r="I256" s="61">
        <f>SUM(I179:I183,I197)</f>
        <v>31845558.420000002</v>
      </c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>
        <f>SUM(T179:T183,T197)</f>
        <v>6296338.9000000004</v>
      </c>
      <c r="U256" s="61">
        <f>SUM(U179:U183,U197)</f>
        <v>1051928.99</v>
      </c>
      <c r="V256" s="61">
        <f>T256/0.051</f>
        <v>123457625.49019609</v>
      </c>
    </row>
    <row r="257" spans="2:22" x14ac:dyDescent="0.35">
      <c r="B257" s="61"/>
      <c r="C257" s="61"/>
      <c r="D257" s="61"/>
      <c r="E257" s="61"/>
      <c r="F257" s="79">
        <f>F256/C256</f>
        <v>8.1850000000000006E-2</v>
      </c>
      <c r="G257" s="61"/>
      <c r="H257" s="61"/>
      <c r="I257" s="79">
        <f>I256/C256</f>
        <v>0.15865000544954858</v>
      </c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</row>
    <row r="258" spans="2:22" x14ac:dyDescent="0.35">
      <c r="B258" s="61" t="s">
        <v>11</v>
      </c>
      <c r="C258" s="61"/>
      <c r="D258" s="61"/>
      <c r="E258" s="61"/>
      <c r="F258" s="61">
        <f>F256*'[1]On Behalf'!I371</f>
        <v>13520236.01367333</v>
      </c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</row>
    <row r="259" spans="2:22" x14ac:dyDescent="0.35">
      <c r="B259" s="61" t="s">
        <v>12</v>
      </c>
      <c r="C259" s="61"/>
      <c r="D259" s="61"/>
      <c r="E259" s="61"/>
      <c r="F259" s="61">
        <f>F256*'[1]On Behalf'!I372</f>
        <v>2909381.8063266692</v>
      </c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</row>
    <row r="260" spans="2:22" x14ac:dyDescent="0.35">
      <c r="B260" s="61"/>
      <c r="C260" s="61"/>
      <c r="D260" s="61"/>
      <c r="E260" s="61"/>
      <c r="F260" s="61">
        <f>SUM(F258:F259)</f>
        <v>16429617.819999998</v>
      </c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</row>
    <row r="263" spans="2:22" x14ac:dyDescent="0.35">
      <c r="B263" s="80" t="s">
        <v>15</v>
      </c>
      <c r="C263" s="80">
        <f>SUM(C200:C204)</f>
        <v>2583986.853364449</v>
      </c>
      <c r="D263" s="80">
        <f>SUM(D200:D204)</f>
        <v>220268.12</v>
      </c>
      <c r="E263" s="80">
        <f>SUM(E200:E204)</f>
        <v>111903.39</v>
      </c>
      <c r="F263" s="80">
        <f>SUM(F200:F204)</f>
        <v>332171.50999999995</v>
      </c>
      <c r="G263" s="80"/>
      <c r="H263" s="80"/>
      <c r="I263" s="80">
        <f>SUM(I200:I204)</f>
        <v>416150.96</v>
      </c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</row>
    <row r="264" spans="2:22" x14ac:dyDescent="0.35">
      <c r="B264" s="80"/>
      <c r="C264" s="80"/>
      <c r="D264" s="80"/>
      <c r="E264" s="80"/>
      <c r="F264" s="81">
        <f>F263/C263</f>
        <v>0.12855000000000003</v>
      </c>
      <c r="G264" s="80"/>
      <c r="H264" s="80"/>
      <c r="I264" s="81">
        <f>I263/C263</f>
        <v>0.16104995250194701</v>
      </c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</row>
    <row r="265" spans="2:22" x14ac:dyDescent="0.35">
      <c r="B265" s="80" t="s">
        <v>11</v>
      </c>
      <c r="C265" s="80"/>
      <c r="D265" s="80"/>
      <c r="E265" s="80"/>
      <c r="F265" s="80">
        <f>F263*'[1]On Behalf'!I371</f>
        <v>273350.07188975805</v>
      </c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</row>
    <row r="266" spans="2:22" x14ac:dyDescent="0.35">
      <c r="B266" s="80" t="s">
        <v>12</v>
      </c>
      <c r="C266" s="80"/>
      <c r="D266" s="80"/>
      <c r="E266" s="80"/>
      <c r="F266" s="80">
        <f>F263*'[1]On Behalf'!I372</f>
        <v>58821.438110241885</v>
      </c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</row>
    <row r="267" spans="2:22" x14ac:dyDescent="0.35">
      <c r="B267" s="80"/>
      <c r="C267" s="80"/>
      <c r="D267" s="80"/>
      <c r="E267" s="80"/>
      <c r="F267" s="80">
        <f>SUM(F265:F266)</f>
        <v>332171.50999999995</v>
      </c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</row>
    <row r="269" spans="2:22" x14ac:dyDescent="0.35">
      <c r="C269" s="52">
        <f>C236+C249+C256+C263</f>
        <v>3480696465.8004184</v>
      </c>
      <c r="D269" s="52">
        <f>D236+D249+D256+D263</f>
        <v>319304324.03999984</v>
      </c>
      <c r="E269" s="52">
        <f>E236+E249+E256+E263</f>
        <v>118765191.33999994</v>
      </c>
      <c r="F269" s="52">
        <f>F236+F253+F260+F267</f>
        <v>438069515.37999982</v>
      </c>
    </row>
    <row r="272" spans="2:22" x14ac:dyDescent="0.35">
      <c r="C272" s="52">
        <f>'[2]Over-Under Calc'!E70-'2017 Prop share of contribs'!C5</f>
        <v>-82340766.603932381</v>
      </c>
    </row>
  </sheetData>
  <mergeCells count="7">
    <mergeCell ref="CQ1:CR1"/>
    <mergeCell ref="W1:AE1"/>
    <mergeCell ref="AG1:AL1"/>
    <mergeCell ref="AP1:AS1"/>
    <mergeCell ref="AT1:AW1"/>
    <mergeCell ref="CI1:CJ1"/>
    <mergeCell ref="CG1:CH1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39"/>
  <sheetViews>
    <sheetView workbookViewId="0">
      <selection activeCell="A29" sqref="A29"/>
    </sheetView>
  </sheetViews>
  <sheetFormatPr defaultColWidth="9.15234375" defaultRowHeight="14.15" x14ac:dyDescent="0.35"/>
  <cols>
    <col min="1" max="1" width="66.3828125" style="11" customWidth="1"/>
    <col min="2" max="2" width="16" style="11" customWidth="1"/>
    <col min="3" max="3" width="19" style="11" customWidth="1"/>
    <col min="4" max="4" width="17" style="11" bestFit="1" customWidth="1"/>
    <col min="5" max="5" width="13.3828125" style="11" bestFit="1" customWidth="1"/>
    <col min="6" max="6" width="17.15234375" style="11" customWidth="1"/>
    <col min="7" max="7" width="13.3828125" style="11" customWidth="1"/>
    <col min="8" max="8" width="15.15234375" style="11" bestFit="1" customWidth="1"/>
    <col min="9" max="9" width="13" style="11" customWidth="1"/>
    <col min="10" max="10" width="9.3828125" style="11" bestFit="1" customWidth="1"/>
    <col min="11" max="11" width="14" style="11" bestFit="1" customWidth="1"/>
    <col min="12" max="13" width="16" style="11" bestFit="1" customWidth="1"/>
    <col min="14" max="14" width="18" style="11" customWidth="1"/>
    <col min="15" max="16" width="9.15234375" style="11"/>
    <col min="17" max="17" width="18.15234375" style="11" bestFit="1" customWidth="1"/>
    <col min="18" max="16384" width="9.15234375" style="11"/>
  </cols>
  <sheetData>
    <row r="1" spans="1:17" ht="17.600000000000001" x14ac:dyDescent="0.4">
      <c r="A1" s="12" t="s">
        <v>91</v>
      </c>
    </row>
    <row r="2" spans="1:17" x14ac:dyDescent="0.35">
      <c r="A2" s="11" t="s">
        <v>695</v>
      </c>
      <c r="F2" s="11" t="s">
        <v>701</v>
      </c>
    </row>
    <row r="4" spans="1:17" x14ac:dyDescent="0.35">
      <c r="B4" s="13" t="s">
        <v>694</v>
      </c>
      <c r="D4" s="13" t="s">
        <v>310</v>
      </c>
      <c r="E4" s="137"/>
      <c r="F4" s="13"/>
      <c r="G4" s="355" t="s">
        <v>319</v>
      </c>
      <c r="H4" s="355"/>
      <c r="I4" s="355"/>
      <c r="K4" s="51" t="s">
        <v>668</v>
      </c>
      <c r="M4" s="11" t="s">
        <v>310</v>
      </c>
      <c r="O4" s="11" t="s">
        <v>319</v>
      </c>
    </row>
    <row r="5" spans="1:17" x14ac:dyDescent="0.35">
      <c r="B5" s="13" t="s">
        <v>80</v>
      </c>
      <c r="D5" s="13" t="s">
        <v>318</v>
      </c>
      <c r="E5" s="137"/>
      <c r="F5" s="13" t="s">
        <v>64</v>
      </c>
      <c r="G5" s="13" t="s">
        <v>303</v>
      </c>
      <c r="K5" s="51" t="s">
        <v>80</v>
      </c>
      <c r="M5" s="11" t="s">
        <v>318</v>
      </c>
      <c r="N5" s="11" t="s">
        <v>64</v>
      </c>
      <c r="O5" s="11" t="s">
        <v>303</v>
      </c>
    </row>
    <row r="6" spans="1:17" x14ac:dyDescent="0.35">
      <c r="A6" s="14" t="s">
        <v>92</v>
      </c>
      <c r="G6" s="11" t="s">
        <v>320</v>
      </c>
      <c r="H6" s="11" t="s">
        <v>308</v>
      </c>
      <c r="I6" s="11" t="s">
        <v>309</v>
      </c>
      <c r="O6" s="11" t="s">
        <v>320</v>
      </c>
      <c r="P6" s="11" t="s">
        <v>308</v>
      </c>
      <c r="Q6" s="11" t="s">
        <v>309</v>
      </c>
    </row>
    <row r="7" spans="1:17" x14ac:dyDescent="0.35">
      <c r="A7" s="18" t="str">
        <f>'Allocation schedule Univ'!C10</f>
        <v>Eastern Kentucky University</v>
      </c>
      <c r="B7" s="15">
        <f>'2017 Prop share of contribs'!BT179</f>
        <v>9018122</v>
      </c>
      <c r="D7" s="15">
        <f t="shared" ref="D7:D12" si="0">ROUND(B7/$B$13*$D$13,0)</f>
        <v>7187273</v>
      </c>
      <c r="E7" s="15"/>
      <c r="F7" s="15">
        <f t="shared" ref="F7:F13" si="1">B7+D7</f>
        <v>16205395</v>
      </c>
      <c r="G7" s="21">
        <f t="shared" ref="G7:G12" si="2">B7/($B$13+$D$13)</f>
        <v>0.15149457336577313</v>
      </c>
      <c r="H7" s="21">
        <f t="shared" ref="H7:H12" si="3">D7/($B$13+$D$13)</f>
        <v>0.12073831522775368</v>
      </c>
      <c r="I7" s="23">
        <f>G7+H7</f>
        <v>0.27223288859352679</v>
      </c>
      <c r="K7" s="15">
        <v>8995402</v>
      </c>
      <c r="M7" s="15">
        <v>847798</v>
      </c>
      <c r="N7" s="15">
        <v>9843200</v>
      </c>
      <c r="O7" s="23">
        <v>0.24551259469723591</v>
      </c>
      <c r="P7" s="23">
        <v>2.3139053347379829E-2</v>
      </c>
      <c r="Q7" s="23">
        <v>0.26865164804461572</v>
      </c>
    </row>
    <row r="8" spans="1:17" x14ac:dyDescent="0.35">
      <c r="A8" s="18" t="str">
        <f>'Allocation schedule Univ'!C11</f>
        <v>Kentucky State University</v>
      </c>
      <c r="B8" s="7">
        <f>'2017 Prop share of contribs'!BT180</f>
        <v>1890626</v>
      </c>
      <c r="D8" s="7">
        <f t="shared" si="0"/>
        <v>1506793</v>
      </c>
      <c r="E8" s="7"/>
      <c r="F8" s="7">
        <f t="shared" si="1"/>
        <v>3397419</v>
      </c>
      <c r="G8" s="21">
        <f t="shared" si="2"/>
        <v>3.1760446272986569E-2</v>
      </c>
      <c r="H8" s="21">
        <f t="shared" si="3"/>
        <v>2.5312472229310427E-2</v>
      </c>
      <c r="I8" s="23">
        <f t="shared" ref="I8:I12" si="4">G8+H8</f>
        <v>5.7072918502296996E-2</v>
      </c>
      <c r="K8" s="32">
        <v>1773512</v>
      </c>
      <c r="M8" s="32">
        <v>167150</v>
      </c>
      <c r="N8" s="32">
        <v>1940662</v>
      </c>
      <c r="O8" s="23">
        <v>4.8404677505984088E-2</v>
      </c>
      <c r="P8" s="23">
        <v>4.5620451652569815E-3</v>
      </c>
      <c r="Q8" s="23">
        <v>5.296672267124107E-2</v>
      </c>
    </row>
    <row r="9" spans="1:17" x14ac:dyDescent="0.35">
      <c r="A9" s="18" t="str">
        <f>'Allocation schedule Univ'!C12</f>
        <v>Morehead State University</v>
      </c>
      <c r="B9" s="7">
        <f>'2017 Prop share of contribs'!BT181</f>
        <v>4826174</v>
      </c>
      <c r="D9" s="7">
        <f t="shared" si="0"/>
        <v>3846369</v>
      </c>
      <c r="E9" s="7"/>
      <c r="F9" s="7">
        <f t="shared" si="1"/>
        <v>8672543</v>
      </c>
      <c r="G9" s="21">
        <f t="shared" si="2"/>
        <v>8.1074437795251253E-2</v>
      </c>
      <c r="H9" s="21">
        <f t="shared" si="3"/>
        <v>6.4614786832816795E-2</v>
      </c>
      <c r="I9" s="23">
        <f t="shared" si="4"/>
        <v>0.14568922462806805</v>
      </c>
      <c r="K9" s="32">
        <v>4957288</v>
      </c>
      <c r="M9" s="32">
        <v>467214</v>
      </c>
      <c r="N9" s="32">
        <v>5424502</v>
      </c>
      <c r="O9" s="23">
        <v>0.13529986092244362</v>
      </c>
      <c r="P9" s="23">
        <v>1.2751728207241252E-2</v>
      </c>
      <c r="Q9" s="23">
        <v>0.14805158912968486</v>
      </c>
    </row>
    <row r="10" spans="1:17" x14ac:dyDescent="0.35">
      <c r="A10" s="18" t="str">
        <f>'Allocation schedule Univ'!C13</f>
        <v>Murray State University</v>
      </c>
      <c r="B10" s="7">
        <f>'2017 Prop share of contribs'!BT182</f>
        <v>5326832</v>
      </c>
      <c r="D10" s="7">
        <f t="shared" si="0"/>
        <v>4245384</v>
      </c>
      <c r="E10" s="7"/>
      <c r="F10" s="7">
        <f t="shared" si="1"/>
        <v>9572216</v>
      </c>
      <c r="G10" s="21">
        <f t="shared" si="2"/>
        <v>8.9484943897537431E-2</v>
      </c>
      <c r="H10" s="21">
        <f t="shared" si="3"/>
        <v>7.1317801849861806E-2</v>
      </c>
      <c r="I10" s="23">
        <f t="shared" si="4"/>
        <v>0.16080274574739922</v>
      </c>
      <c r="K10" s="32">
        <v>5555229</v>
      </c>
      <c r="M10" s="32">
        <v>523569</v>
      </c>
      <c r="N10" s="32">
        <v>6078798</v>
      </c>
      <c r="O10" s="23">
        <v>0.1516195369509146</v>
      </c>
      <c r="P10" s="23">
        <v>1.4289832037860798E-2</v>
      </c>
      <c r="Q10" s="23">
        <v>0.1659093689887754</v>
      </c>
    </row>
    <row r="11" spans="1:17" x14ac:dyDescent="0.35">
      <c r="A11" s="18" t="str">
        <f>'Allocation schedule Univ'!C14</f>
        <v>Western Kentucky University</v>
      </c>
      <c r="B11" s="7">
        <f>'2017 Prop share of contribs'!BT183</f>
        <v>9655712</v>
      </c>
      <c r="D11" s="7">
        <f t="shared" si="0"/>
        <v>7695420</v>
      </c>
      <c r="E11" s="7"/>
      <c r="F11" s="7">
        <f t="shared" si="1"/>
        <v>17351132</v>
      </c>
      <c r="G11" s="21">
        <f t="shared" si="2"/>
        <v>0.16220538710640375</v>
      </c>
      <c r="H11" s="21">
        <f t="shared" si="3"/>
        <v>0.12927462832843001</v>
      </c>
      <c r="I11" s="23">
        <f t="shared" si="4"/>
        <v>0.29148001543483376</v>
      </c>
      <c r="K11" s="32">
        <v>9608141</v>
      </c>
      <c r="M11" s="32">
        <v>905548</v>
      </c>
      <c r="N11" s="32">
        <v>10513689</v>
      </c>
      <c r="O11" s="23">
        <v>0.26223615432938907</v>
      </c>
      <c r="P11" s="23">
        <v>2.4715231081711812E-2</v>
      </c>
      <c r="Q11" s="23">
        <v>0.28695138541110088</v>
      </c>
    </row>
    <row r="12" spans="1:17" ht="15.45" x14ac:dyDescent="0.5">
      <c r="A12" s="18" t="str">
        <f>'Allocation schedule Univ'!C15</f>
        <v>KCTCS Central Office - University</v>
      </c>
      <c r="B12" s="16">
        <f>'2017 Prop share of contribs'!BT197</f>
        <v>2409032</v>
      </c>
      <c r="D12" s="16">
        <f t="shared" si="0"/>
        <v>1919953</v>
      </c>
      <c r="E12" s="16"/>
      <c r="F12" s="16">
        <f t="shared" si="1"/>
        <v>4328985</v>
      </c>
      <c r="G12" s="26">
        <f t="shared" si="2"/>
        <v>4.0469099338475929E-2</v>
      </c>
      <c r="H12" s="26">
        <f t="shared" si="3"/>
        <v>3.2253107755399212E-2</v>
      </c>
      <c r="I12" s="27">
        <f t="shared" si="4"/>
        <v>7.2722207093875141E-2</v>
      </c>
      <c r="K12" s="32">
        <v>2593944</v>
      </c>
      <c r="M12" s="32">
        <v>244474</v>
      </c>
      <c r="N12" s="32">
        <v>2838418</v>
      </c>
      <c r="O12" s="23">
        <v>7.0796827305697613E-2</v>
      </c>
      <c r="P12" s="23">
        <v>6.672458448884447E-3</v>
      </c>
      <c r="Q12" s="23">
        <v>7.7469285754582062E-2</v>
      </c>
    </row>
    <row r="13" spans="1:17" x14ac:dyDescent="0.35">
      <c r="A13" s="11" t="s">
        <v>375</v>
      </c>
      <c r="B13" s="17">
        <f>SUM(B7:B12)</f>
        <v>33126498</v>
      </c>
      <c r="D13" s="15">
        <f>ROUND((D244+D240)*0.04739,0)</f>
        <v>26401192</v>
      </c>
      <c r="E13" s="15"/>
      <c r="F13" s="7">
        <f t="shared" si="1"/>
        <v>59527690</v>
      </c>
      <c r="G13" s="21">
        <f>SUM(G7:G12)</f>
        <v>0.55648888777642802</v>
      </c>
      <c r="H13" s="23">
        <f>SUM(H7:H12)</f>
        <v>0.44351111222357187</v>
      </c>
      <c r="I13" s="23">
        <f>SUM(I7:I12)</f>
        <v>1</v>
      </c>
      <c r="K13" s="15">
        <v>33483516</v>
      </c>
      <c r="M13" s="15">
        <v>3155753</v>
      </c>
      <c r="N13" s="32">
        <v>36639269</v>
      </c>
      <c r="O13" s="23">
        <v>0.9138696517116649</v>
      </c>
      <c r="P13" s="23">
        <v>8.6130348288335129E-2</v>
      </c>
      <c r="Q13" s="23">
        <v>1</v>
      </c>
    </row>
    <row r="14" spans="1:17" x14ac:dyDescent="0.35">
      <c r="B14" s="17"/>
      <c r="C14" s="21"/>
      <c r="D14" s="23"/>
      <c r="E14" s="23"/>
      <c r="F14" s="23"/>
      <c r="K14" s="15"/>
      <c r="L14" s="23"/>
      <c r="M14" s="23"/>
      <c r="N14" s="23"/>
    </row>
    <row r="15" spans="1:17" x14ac:dyDescent="0.35">
      <c r="B15" s="17"/>
      <c r="C15" s="21"/>
      <c r="D15" s="23"/>
      <c r="E15" s="23"/>
      <c r="F15" s="23"/>
      <c r="K15" s="15"/>
      <c r="L15" s="23"/>
      <c r="M15" s="23"/>
      <c r="N15" s="23"/>
    </row>
    <row r="16" spans="1:17" x14ac:dyDescent="0.35">
      <c r="B16" s="17"/>
      <c r="C16" s="21"/>
      <c r="D16" s="23"/>
      <c r="E16" s="23"/>
      <c r="F16" s="23"/>
      <c r="G16" s="355" t="s">
        <v>319</v>
      </c>
      <c r="H16" s="355"/>
      <c r="I16" s="355"/>
      <c r="K16" s="15"/>
      <c r="L16" s="23"/>
      <c r="M16" s="23"/>
      <c r="N16" s="23"/>
      <c r="O16" s="11" t="s">
        <v>319</v>
      </c>
    </row>
    <row r="17" spans="1:17" x14ac:dyDescent="0.35">
      <c r="B17" s="7" t="s">
        <v>313</v>
      </c>
      <c r="C17" s="23"/>
      <c r="D17" s="13" t="s">
        <v>310</v>
      </c>
      <c r="E17" s="137"/>
      <c r="F17" s="13" t="s">
        <v>312</v>
      </c>
      <c r="G17" s="13" t="s">
        <v>303</v>
      </c>
      <c r="K17" s="32" t="s">
        <v>313</v>
      </c>
      <c r="L17" s="23"/>
      <c r="M17" s="11" t="s">
        <v>310</v>
      </c>
      <c r="N17" s="11" t="s">
        <v>312</v>
      </c>
      <c r="O17" s="11" t="s">
        <v>303</v>
      </c>
    </row>
    <row r="18" spans="1:17" x14ac:dyDescent="0.35">
      <c r="A18" s="11" t="s">
        <v>720</v>
      </c>
      <c r="B18" s="7" t="s">
        <v>314</v>
      </c>
      <c r="C18" s="23"/>
      <c r="D18" s="13" t="s">
        <v>318</v>
      </c>
      <c r="E18" s="137"/>
      <c r="F18" s="11" t="s">
        <v>303</v>
      </c>
      <c r="G18" s="11" t="s">
        <v>320</v>
      </c>
      <c r="H18" s="11" t="s">
        <v>308</v>
      </c>
      <c r="I18" s="11" t="s">
        <v>309</v>
      </c>
      <c r="K18" s="32" t="s">
        <v>314</v>
      </c>
      <c r="L18" s="23"/>
      <c r="M18" s="11" t="s">
        <v>318</v>
      </c>
      <c r="N18" s="11" t="s">
        <v>303</v>
      </c>
      <c r="O18" s="11" t="s">
        <v>320</v>
      </c>
      <c r="P18" s="11" t="s">
        <v>308</v>
      </c>
      <c r="Q18" s="11" t="s">
        <v>309</v>
      </c>
    </row>
    <row r="19" spans="1:17" x14ac:dyDescent="0.35">
      <c r="A19" s="18" t="str">
        <f>'Allocation schedule Non'!C195</f>
        <v>KCTCS Central Office</v>
      </c>
      <c r="B19" s="15">
        <f>'2017 Prop share of contribs'!BT196</f>
        <v>2183386</v>
      </c>
      <c r="D19" s="7">
        <f>ROUND(B19/$B$234*(($D$244+$D$240)*0.95261),0)</f>
        <v>3052799</v>
      </c>
      <c r="E19" s="7"/>
      <c r="F19" s="7">
        <f t="shared" ref="F19:F24" si="5">B19+D19</f>
        <v>5236185</v>
      </c>
      <c r="G19" s="21">
        <f t="shared" ref="G19:G24" si="6">B19/($B$234+$D$234+$C$234)</f>
        <v>2.2774902909123529E-3</v>
      </c>
      <c r="H19" s="21">
        <f t="shared" ref="H19:H24" si="7">D19/($B$234+$D$234+$C$234)</f>
        <v>3.1843751322976972E-3</v>
      </c>
      <c r="I19" s="23">
        <f>G19+H19</f>
        <v>5.4618654232100501E-3</v>
      </c>
      <c r="K19" s="15">
        <v>2482644</v>
      </c>
      <c r="M19" s="32">
        <v>411102</v>
      </c>
      <c r="N19" s="32">
        <v>2893746</v>
      </c>
      <c r="O19" s="23">
        <v>5.1146521587766653E-3</v>
      </c>
      <c r="P19" s="23">
        <v>8.4693727001430917E-4</v>
      </c>
      <c r="Q19" s="23">
        <v>5.9615894287909747E-3</v>
      </c>
    </row>
    <row r="20" spans="1:17" x14ac:dyDescent="0.35">
      <c r="A20" s="18" t="str">
        <f>'Allocation schedule Non'!C197</f>
        <v>KY High School Athletic Association</v>
      </c>
      <c r="B20" s="7">
        <f>'2017 Prop share of contribs'!BT200</f>
        <v>84540</v>
      </c>
      <c r="D20" s="7">
        <f t="shared" ref="D20:D24" si="8">ROUND(B20/$B$234*(($D$244+$D$240)*0.95261),0)</f>
        <v>118203</v>
      </c>
      <c r="E20" s="7"/>
      <c r="F20" s="7">
        <f t="shared" si="5"/>
        <v>202743</v>
      </c>
      <c r="G20" s="21">
        <f t="shared" si="6"/>
        <v>8.8183687718859757E-5</v>
      </c>
      <c r="H20" s="21">
        <f t="shared" si="7"/>
        <v>1.2329756848157534E-4</v>
      </c>
      <c r="I20" s="23">
        <f t="shared" ref="I20:I24" si="9">G20+H20</f>
        <v>2.114812562004351E-4</v>
      </c>
      <c r="K20" s="32">
        <v>80135</v>
      </c>
      <c r="M20" s="32">
        <v>13270</v>
      </c>
      <c r="N20" s="32">
        <v>93405</v>
      </c>
      <c r="O20" s="23">
        <v>1.6509118937051308E-4</v>
      </c>
      <c r="P20" s="23">
        <v>2.7338367541607394E-5</v>
      </c>
      <c r="Q20" s="23">
        <v>1.9242955691212046E-4</v>
      </c>
    </row>
    <row r="21" spans="1:17" x14ac:dyDescent="0.35">
      <c r="A21" s="18" t="str">
        <f>'Allocation schedule Non'!C198</f>
        <v>KY School Boards Association</v>
      </c>
      <c r="B21" s="7">
        <f>'2017 Prop share of contribs'!BT201</f>
        <v>196157</v>
      </c>
      <c r="D21" s="7">
        <f t="shared" si="8"/>
        <v>274266</v>
      </c>
      <c r="E21" s="7"/>
      <c r="F21" s="7">
        <f t="shared" si="5"/>
        <v>470423</v>
      </c>
      <c r="G21" s="21">
        <f t="shared" si="6"/>
        <v>2.0461139853168172E-4</v>
      </c>
      <c r="H21" s="21">
        <f t="shared" si="7"/>
        <v>2.86086909106941E-4</v>
      </c>
      <c r="I21" s="23">
        <f t="shared" si="9"/>
        <v>4.9069830763862272E-4</v>
      </c>
      <c r="K21" s="32">
        <v>209334</v>
      </c>
      <c r="M21" s="32">
        <v>34664</v>
      </c>
      <c r="N21" s="32">
        <v>243998</v>
      </c>
      <c r="O21" s="23">
        <v>4.3126223292802124E-4</v>
      </c>
      <c r="P21" s="23">
        <v>7.1413502069501034E-5</v>
      </c>
      <c r="Q21" s="23">
        <v>5.0267573499752222E-4</v>
      </c>
    </row>
    <row r="22" spans="1:17" x14ac:dyDescent="0.35">
      <c r="A22" s="18" t="str">
        <f>'Allocation schedule Non'!C199</f>
        <v>KY Education Association</v>
      </c>
      <c r="B22" s="7">
        <f>'2017 Prop share of contribs'!BT202</f>
        <v>24012</v>
      </c>
      <c r="D22" s="7">
        <f t="shared" si="8"/>
        <v>33573</v>
      </c>
      <c r="E22" s="7"/>
      <c r="F22" s="7">
        <f t="shared" si="5"/>
        <v>57585</v>
      </c>
      <c r="G22" s="21">
        <f t="shared" si="6"/>
        <v>2.5046921096584582E-5</v>
      </c>
      <c r="H22" s="21">
        <f t="shared" si="7"/>
        <v>3.5020001748110703E-5</v>
      </c>
      <c r="I22" s="23">
        <f t="shared" si="9"/>
        <v>6.0066922844695285E-5</v>
      </c>
      <c r="K22" s="32">
        <v>26168</v>
      </c>
      <c r="M22" s="32">
        <v>4333</v>
      </c>
      <c r="N22" s="32">
        <v>30501</v>
      </c>
      <c r="O22" s="23">
        <v>5.3910354320179524E-5</v>
      </c>
      <c r="P22" s="23">
        <v>8.9266877586876293E-6</v>
      </c>
      <c r="Q22" s="23">
        <v>6.283704207886716E-5</v>
      </c>
    </row>
    <row r="23" spans="1:17" x14ac:dyDescent="0.35">
      <c r="A23" s="18" t="str">
        <f>'Allocation schedule Non'!C200</f>
        <v>KY Academic Association</v>
      </c>
      <c r="B23" s="7">
        <f>'2017 Prop share of contribs'!BT203</f>
        <v>15463</v>
      </c>
      <c r="D23" s="7">
        <f t="shared" si="8"/>
        <v>21620</v>
      </c>
      <c r="E23" s="7"/>
      <c r="F23" s="7">
        <f t="shared" si="5"/>
        <v>37083</v>
      </c>
      <c r="G23" s="21">
        <f t="shared" si="6"/>
        <v>1.6129457809282333E-5</v>
      </c>
      <c r="H23" s="21">
        <f t="shared" si="7"/>
        <v>2.2551825508419067E-5</v>
      </c>
      <c r="I23" s="23">
        <f t="shared" si="9"/>
        <v>3.8681283317701403E-5</v>
      </c>
      <c r="K23" s="32">
        <v>15293</v>
      </c>
      <c r="M23" s="32">
        <v>2532</v>
      </c>
      <c r="N23" s="32">
        <v>17825</v>
      </c>
      <c r="O23" s="23">
        <v>3.1506077981447017E-5</v>
      </c>
      <c r="P23" s="23">
        <v>5.216333580659376E-6</v>
      </c>
      <c r="Q23" s="23">
        <v>3.6722411562106394E-5</v>
      </c>
    </row>
    <row r="24" spans="1:17" ht="15.45" x14ac:dyDescent="0.5">
      <c r="A24" s="18" t="str">
        <f>'Allocation schedule Non'!C201</f>
        <v>Jefferson County Teachers' Association</v>
      </c>
      <c r="B24" s="16">
        <f>'2017 Prop share of contribs'!BT204</f>
        <v>7010</v>
      </c>
      <c r="C24" s="46"/>
      <c r="D24" s="16">
        <f t="shared" si="8"/>
        <v>9801</v>
      </c>
      <c r="E24" s="16"/>
      <c r="F24" s="16">
        <f t="shared" si="5"/>
        <v>16811</v>
      </c>
      <c r="G24" s="47">
        <f t="shared" si="6"/>
        <v>7.3121321375586333E-6</v>
      </c>
      <c r="H24" s="47">
        <f t="shared" si="7"/>
        <v>1.0223424690472492E-5</v>
      </c>
      <c r="I24" s="48">
        <f t="shared" si="9"/>
        <v>1.7535556828031127E-5</v>
      </c>
      <c r="K24" s="32">
        <v>6883</v>
      </c>
      <c r="M24" s="32">
        <v>1140</v>
      </c>
      <c r="N24" s="32">
        <v>8023</v>
      </c>
      <c r="O24" s="23">
        <v>1.4180104279493874E-5</v>
      </c>
      <c r="P24" s="23">
        <v>2.348586209301615E-6</v>
      </c>
      <c r="Q24" s="23">
        <v>1.6528690488795489E-5</v>
      </c>
    </row>
    <row r="25" spans="1:17" x14ac:dyDescent="0.35">
      <c r="B25" s="17">
        <f>SUM(B19:B24)</f>
        <v>2510568</v>
      </c>
      <c r="D25" s="15">
        <f>SUM(D19:D24)</f>
        <v>3510262</v>
      </c>
      <c r="E25" s="15"/>
      <c r="F25" s="15">
        <f>SUM(F19:F24)</f>
        <v>6020830</v>
      </c>
      <c r="G25" s="21">
        <f>SUM(G19:G24)</f>
        <v>2.6187738882063197E-3</v>
      </c>
      <c r="H25" s="21">
        <f t="shared" ref="H25:I25" si="10">SUM(H19:H24)</f>
        <v>3.6615548618332155E-3</v>
      </c>
      <c r="I25" s="21">
        <f t="shared" si="10"/>
        <v>6.2803287500395356E-3</v>
      </c>
      <c r="J25" s="23" t="s">
        <v>303</v>
      </c>
      <c r="K25" s="15">
        <v>2820457</v>
      </c>
      <c r="M25" s="15">
        <v>467041</v>
      </c>
      <c r="N25" s="15">
        <v>3287498</v>
      </c>
      <c r="O25" s="23">
        <v>5.8106021176563211E-3</v>
      </c>
      <c r="P25" s="23">
        <v>9.6218074717406609E-4</v>
      </c>
      <c r="Q25" s="23">
        <v>6.7727828648303868E-3</v>
      </c>
    </row>
    <row r="26" spans="1:17" x14ac:dyDescent="0.35">
      <c r="B26" s="17"/>
      <c r="H26" s="23"/>
      <c r="K26" s="15"/>
      <c r="P26" s="23"/>
    </row>
    <row r="27" spans="1:17" x14ac:dyDescent="0.35">
      <c r="B27" s="7"/>
      <c r="H27" s="23"/>
      <c r="K27" s="32"/>
      <c r="P27" s="23"/>
    </row>
    <row r="28" spans="1:17" x14ac:dyDescent="0.35">
      <c r="A28" s="18" t="s">
        <v>721</v>
      </c>
      <c r="B28" s="7"/>
      <c r="H28" s="23"/>
      <c r="K28" s="32"/>
      <c r="P28" s="23"/>
    </row>
    <row r="29" spans="1:17" x14ac:dyDescent="0.35">
      <c r="A29" s="25" t="str">
        <f>'Allocation schedule Non'!C183</f>
        <v>Technical Education District - Madisonville</v>
      </c>
      <c r="B29" s="15">
        <f>'2017 Prop share of contribs'!BT184</f>
        <v>770104</v>
      </c>
      <c r="D29" s="7">
        <f t="shared" ref="D29:D42" si="11">ROUND(B29/$B$234*(($D$244+$D$240)*0.95261),0)</f>
        <v>1076756</v>
      </c>
      <c r="E29" s="7"/>
      <c r="F29" s="7">
        <f t="shared" ref="F29:F42" si="12">B29+D29</f>
        <v>1846860</v>
      </c>
      <c r="G29" s="21">
        <f t="shared" ref="G29:G42" si="13">B29/($B$234+$D$234+$C$234)</f>
        <v>8.0329560736982228E-4</v>
      </c>
      <c r="H29" s="21">
        <f t="shared" ref="H29:H42" si="14">D29/($B$234+$D$234+$C$234)</f>
        <v>1.1231643583322517E-3</v>
      </c>
      <c r="I29" s="23">
        <f t="shared" ref="I29:I42" si="15">G29+H29</f>
        <v>1.926459965702074E-3</v>
      </c>
      <c r="K29" s="15">
        <v>619620</v>
      </c>
      <c r="M29" s="32">
        <v>102603</v>
      </c>
      <c r="N29" s="32">
        <v>722223</v>
      </c>
      <c r="O29" s="23">
        <v>1.2765184096556724E-3</v>
      </c>
      <c r="P29" s="23">
        <v>2.1137893932716981E-4</v>
      </c>
      <c r="Q29" s="23">
        <v>1.4878973489828422E-3</v>
      </c>
    </row>
    <row r="30" spans="1:17" x14ac:dyDescent="0.35">
      <c r="A30" s="25" t="str">
        <f>'Allocation schedule Non'!C184</f>
        <v>Technical Education District - Bowling Green</v>
      </c>
      <c r="B30" s="7">
        <f>'2017 Prop share of contribs'!BT185</f>
        <v>785551</v>
      </c>
      <c r="D30" s="7">
        <f t="shared" si="11"/>
        <v>1098353</v>
      </c>
      <c r="E30" s="7"/>
      <c r="F30" s="7">
        <f t="shared" si="12"/>
        <v>1883904</v>
      </c>
      <c r="G30" s="21">
        <f t="shared" si="13"/>
        <v>8.1940837557650814E-4</v>
      </c>
      <c r="H30" s="21">
        <f t="shared" si="14"/>
        <v>1.1456921925369385E-3</v>
      </c>
      <c r="I30" s="23">
        <f t="shared" si="15"/>
        <v>1.9651005681134465E-3</v>
      </c>
      <c r="K30" s="32">
        <v>631629</v>
      </c>
      <c r="M30" s="32">
        <v>104592</v>
      </c>
      <c r="N30" s="32">
        <v>736221</v>
      </c>
      <c r="O30" s="23">
        <v>1.3012589112236575E-3</v>
      </c>
      <c r="P30" s="23">
        <v>2.1547660421339867E-4</v>
      </c>
      <c r="Q30" s="23">
        <v>1.5167355154370563E-3</v>
      </c>
    </row>
    <row r="31" spans="1:17" x14ac:dyDescent="0.35">
      <c r="A31" s="25" t="str">
        <f>'Allocation schedule Non'!C185</f>
        <v>Technical Education District - Elizabethtown</v>
      </c>
      <c r="B31" s="7">
        <f>'2017 Prop share of contribs'!BT186</f>
        <v>3548</v>
      </c>
      <c r="D31" s="7">
        <f t="shared" si="11"/>
        <v>4961</v>
      </c>
      <c r="E31" s="7"/>
      <c r="F31" s="7">
        <f t="shared" si="12"/>
        <v>8509</v>
      </c>
      <c r="G31" s="21">
        <f t="shared" si="13"/>
        <v>3.7009193757572086E-6</v>
      </c>
      <c r="H31" s="21">
        <f t="shared" si="14"/>
        <v>5.1748199050539777E-6</v>
      </c>
      <c r="I31" s="23">
        <f t="shared" si="15"/>
        <v>8.8757392808111854E-6</v>
      </c>
      <c r="K31" s="32">
        <v>480383</v>
      </c>
      <c r="M31" s="32">
        <v>79547</v>
      </c>
      <c r="N31" s="32">
        <v>559930</v>
      </c>
      <c r="O31" s="23">
        <v>9.8966744647626119E-4</v>
      </c>
      <c r="P31" s="23">
        <v>1.6387981332571539E-4</v>
      </c>
      <c r="Q31" s="23">
        <v>1.1535472598019766E-3</v>
      </c>
    </row>
    <row r="32" spans="1:17" x14ac:dyDescent="0.35">
      <c r="A32" s="25" t="str">
        <f>'Allocation schedule Non'!C186</f>
        <v>Technical Education District - Frankfort</v>
      </c>
      <c r="B32" s="7">
        <f>'2017 Prop share of contribs'!BT187</f>
        <v>624735</v>
      </c>
      <c r="D32" s="7">
        <f t="shared" si="11"/>
        <v>873501</v>
      </c>
      <c r="E32" s="7"/>
      <c r="F32" s="7">
        <f t="shared" si="12"/>
        <v>1498236</v>
      </c>
      <c r="G32" s="21">
        <f t="shared" si="13"/>
        <v>6.5166117987984203E-4</v>
      </c>
      <c r="H32" s="21">
        <f t="shared" si="14"/>
        <v>9.1114903484873098E-4</v>
      </c>
      <c r="I32" s="23">
        <f t="shared" si="15"/>
        <v>1.562810214728573E-3</v>
      </c>
      <c r="K32" s="32">
        <v>637981</v>
      </c>
      <c r="M32" s="32">
        <v>105644</v>
      </c>
      <c r="N32" s="32">
        <v>743625</v>
      </c>
      <c r="O32" s="23">
        <v>1.3143450687688189E-3</v>
      </c>
      <c r="P32" s="23">
        <v>2.1764389604864894E-4</v>
      </c>
      <c r="Q32" s="23">
        <v>1.5319889648174679E-3</v>
      </c>
    </row>
    <row r="33" spans="1:17" x14ac:dyDescent="0.35">
      <c r="A33" s="25" t="str">
        <f>'Allocation schedule Non'!C187</f>
        <v>Technical Education District - Hazard</v>
      </c>
      <c r="B33" s="7">
        <f>'2017 Prop share of contribs'!BT188</f>
        <v>734615</v>
      </c>
      <c r="D33" s="7">
        <f t="shared" si="11"/>
        <v>1027135</v>
      </c>
      <c r="E33" s="7"/>
      <c r="F33" s="7">
        <f t="shared" si="12"/>
        <v>1761750</v>
      </c>
      <c r="G33" s="21">
        <f t="shared" si="13"/>
        <v>7.6627702571078972E-4</v>
      </c>
      <c r="H33" s="21">
        <f t="shared" si="14"/>
        <v>1.0714046851799269E-3</v>
      </c>
      <c r="I33" s="23">
        <f t="shared" si="15"/>
        <v>1.8376817108907166E-3</v>
      </c>
      <c r="K33" s="32">
        <v>644488</v>
      </c>
      <c r="M33" s="32">
        <v>106721</v>
      </c>
      <c r="N33" s="32">
        <v>751209</v>
      </c>
      <c r="O33" s="23">
        <v>1.3277505516319115E-3</v>
      </c>
      <c r="P33" s="23">
        <v>2.1986269196743653E-4</v>
      </c>
      <c r="Q33" s="23">
        <v>1.5476132435993481E-3</v>
      </c>
    </row>
    <row r="34" spans="1:17" x14ac:dyDescent="0.35">
      <c r="A34" s="25" t="str">
        <f>'Allocation schedule Non'!C188</f>
        <v>Adult Council on Post Secondary Education</v>
      </c>
      <c r="B34" s="7">
        <f>'2017 Prop share of contribs'!BT189</f>
        <v>52192</v>
      </c>
      <c r="D34" s="7">
        <f t="shared" si="11"/>
        <v>72975</v>
      </c>
      <c r="E34" s="7"/>
      <c r="F34" s="7">
        <f t="shared" si="12"/>
        <v>125167</v>
      </c>
      <c r="G34" s="21">
        <f t="shared" si="13"/>
        <v>5.4441483669537834E-5</v>
      </c>
      <c r="H34" s="21">
        <f t="shared" si="14"/>
        <v>7.612023434213143E-5</v>
      </c>
      <c r="I34" s="23">
        <f t="shared" si="15"/>
        <v>1.3056171801166926E-4</v>
      </c>
      <c r="K34" s="32">
        <v>63731</v>
      </c>
      <c r="M34" s="32">
        <v>10553</v>
      </c>
      <c r="N34" s="32">
        <v>74284</v>
      </c>
      <c r="O34" s="23">
        <v>1.3129626991666772E-4</v>
      </c>
      <c r="P34" s="23">
        <v>2.1740903742771877E-5</v>
      </c>
      <c r="Q34" s="23">
        <v>1.530371736594396E-4</v>
      </c>
    </row>
    <row r="35" spans="1:17" x14ac:dyDescent="0.35">
      <c r="A35" s="25" t="str">
        <f>'Allocation schedule Non'!C189</f>
        <v>Office of Career and Technical Education</v>
      </c>
      <c r="B35" s="7">
        <f>'2017 Prop share of contribs'!BT190</f>
        <v>225885</v>
      </c>
      <c r="D35" s="7">
        <f t="shared" si="11"/>
        <v>315831</v>
      </c>
      <c r="E35" s="7"/>
      <c r="F35" s="7">
        <f t="shared" si="12"/>
        <v>541716</v>
      </c>
      <c r="G35" s="21">
        <f t="shared" si="13"/>
        <v>2.3562068015583909E-4</v>
      </c>
      <c r="H35" s="21">
        <f t="shared" si="14"/>
        <v>3.2944336735196586E-4</v>
      </c>
      <c r="I35" s="23">
        <f t="shared" si="15"/>
        <v>5.6506404750780498E-4</v>
      </c>
      <c r="K35" s="32">
        <v>234246</v>
      </c>
      <c r="M35" s="32">
        <v>38789</v>
      </c>
      <c r="N35" s="32">
        <v>273035</v>
      </c>
      <c r="O35" s="23">
        <v>4.82585022091286E-4</v>
      </c>
      <c r="P35" s="23">
        <v>7.9911675853158189E-5</v>
      </c>
      <c r="Q35" s="23">
        <v>5.6249669794444421E-4</v>
      </c>
    </row>
    <row r="36" spans="1:17" x14ac:dyDescent="0.35">
      <c r="A36" s="25" t="str">
        <f>'Allocation schedule Non'!C190</f>
        <v>Office of Secretary of Workforce Investment</v>
      </c>
      <c r="B36" s="7">
        <f>'2017 Prop share of contribs'!BT191</f>
        <v>9788</v>
      </c>
      <c r="D36" s="7">
        <f t="shared" si="11"/>
        <v>13686</v>
      </c>
      <c r="E36" s="7"/>
      <c r="F36" s="7">
        <f t="shared" si="12"/>
        <v>23474</v>
      </c>
      <c r="G36" s="21">
        <f t="shared" si="13"/>
        <v>1.0209864388362897E-5</v>
      </c>
      <c r="H36" s="21">
        <f t="shared" si="14"/>
        <v>1.4275868820916898E-5</v>
      </c>
      <c r="I36" s="23">
        <f t="shared" si="15"/>
        <v>2.4485733209279797E-5</v>
      </c>
      <c r="K36" s="32">
        <v>9728</v>
      </c>
      <c r="M36" s="32">
        <v>1611</v>
      </c>
      <c r="N36" s="32">
        <v>11339</v>
      </c>
      <c r="O36" s="23">
        <v>2.0041268986040446E-5</v>
      </c>
      <c r="P36" s="23">
        <v>3.3189231431446502E-6</v>
      </c>
      <c r="Q36" s="23">
        <v>2.3360192129185096E-5</v>
      </c>
    </row>
    <row r="37" spans="1:17" x14ac:dyDescent="0.35">
      <c r="A37" s="25" t="str">
        <f>'Allocation schedule Non'!C191</f>
        <v>Department for Vocational Rehabilitation</v>
      </c>
      <c r="B37" s="7">
        <f>'2017 Prop share of contribs'!BT192</f>
        <v>1127210</v>
      </c>
      <c r="D37" s="7">
        <f t="shared" si="11"/>
        <v>1576059</v>
      </c>
      <c r="E37" s="7"/>
      <c r="F37" s="7">
        <f t="shared" si="12"/>
        <v>2703269</v>
      </c>
      <c r="G37" s="21">
        <f t="shared" si="13"/>
        <v>1.1757929339197529E-3</v>
      </c>
      <c r="H37" s="21">
        <f t="shared" si="14"/>
        <v>1.6439873986574213E-3</v>
      </c>
      <c r="I37" s="23">
        <f t="shared" si="15"/>
        <v>2.8197803325771742E-3</v>
      </c>
      <c r="K37" s="32">
        <v>1227704</v>
      </c>
      <c r="M37" s="32">
        <v>203296</v>
      </c>
      <c r="N37" s="32">
        <v>1431000</v>
      </c>
      <c r="O37" s="23">
        <v>2.5292707750038858E-3</v>
      </c>
      <c r="P37" s="23">
        <v>4.1882296667208869E-4</v>
      </c>
      <c r="Q37" s="23">
        <v>2.9480937416759747E-3</v>
      </c>
    </row>
    <row r="38" spans="1:17" x14ac:dyDescent="0.35">
      <c r="A38" s="25" t="str">
        <f>'Allocation schedule Non'!C192</f>
        <v>School for the Blind</v>
      </c>
      <c r="B38" s="7">
        <f>'2017 Prop share of contribs'!BT193</f>
        <v>325471</v>
      </c>
      <c r="D38" s="7">
        <f t="shared" si="11"/>
        <v>455072</v>
      </c>
      <c r="E38" s="7"/>
      <c r="F38" s="7">
        <f t="shared" si="12"/>
        <v>780543</v>
      </c>
      <c r="G38" s="21">
        <f t="shared" si="13"/>
        <v>3.3949885291631183E-4</v>
      </c>
      <c r="H38" s="21">
        <f t="shared" si="14"/>
        <v>4.7468567704751535E-4</v>
      </c>
      <c r="I38" s="23">
        <f t="shared" si="15"/>
        <v>8.1418452996382719E-4</v>
      </c>
      <c r="K38" s="32">
        <v>364959</v>
      </c>
      <c r="M38" s="32">
        <v>60434</v>
      </c>
      <c r="N38" s="32">
        <v>425393</v>
      </c>
      <c r="O38" s="23">
        <v>7.5187515294781408E-4</v>
      </c>
      <c r="P38" s="23">
        <v>1.2450391137976648E-4</v>
      </c>
      <c r="Q38" s="23">
        <v>8.7637906432758053E-4</v>
      </c>
    </row>
    <row r="39" spans="1:17" x14ac:dyDescent="0.35">
      <c r="A39" s="25" t="str">
        <f>'Allocation schedule Non'!C193</f>
        <v>School for the Deaf</v>
      </c>
      <c r="B39" s="7">
        <f>'2017 Prop share of contribs'!BT194</f>
        <v>456307</v>
      </c>
      <c r="D39" s="7">
        <f t="shared" si="11"/>
        <v>638006</v>
      </c>
      <c r="E39" s="7"/>
      <c r="F39" s="7">
        <f t="shared" si="12"/>
        <v>1094313</v>
      </c>
      <c r="G39" s="21">
        <f t="shared" si="13"/>
        <v>4.7597390574792689E-4</v>
      </c>
      <c r="H39" s="21">
        <f t="shared" si="14"/>
        <v>6.6550416213341426E-4</v>
      </c>
      <c r="I39" s="23">
        <f t="shared" si="15"/>
        <v>1.1414780678813412E-3</v>
      </c>
      <c r="K39" s="32">
        <v>455980</v>
      </c>
      <c r="M39" s="32">
        <v>75506</v>
      </c>
      <c r="N39" s="32">
        <v>531486</v>
      </c>
      <c r="O39" s="23">
        <v>9.3939328045381605E-4</v>
      </c>
      <c r="P39" s="23">
        <v>1.5555469326274362E-4</v>
      </c>
      <c r="Q39" s="23">
        <v>1.0949479737165596E-3</v>
      </c>
    </row>
    <row r="40" spans="1:17" x14ac:dyDescent="0.35">
      <c r="A40" s="25" t="str">
        <f>'Allocation schedule Non'!C194</f>
        <v>Department of Education</v>
      </c>
      <c r="B40" s="7">
        <f>'2017 Prop share of contribs'!BT195</f>
        <v>1839328</v>
      </c>
      <c r="D40" s="7">
        <f t="shared" si="11"/>
        <v>2571739</v>
      </c>
      <c r="E40" s="7"/>
      <c r="F40" s="7">
        <f t="shared" si="12"/>
        <v>4411067</v>
      </c>
      <c r="G40" s="21">
        <f t="shared" si="13"/>
        <v>1.918603335279807E-3</v>
      </c>
      <c r="H40" s="21">
        <f t="shared" si="14"/>
        <v>2.6825813682329392E-3</v>
      </c>
      <c r="I40" s="23">
        <f t="shared" si="15"/>
        <v>4.6011847035127458E-3</v>
      </c>
      <c r="K40" s="32">
        <v>1805734</v>
      </c>
      <c r="M40" s="32">
        <v>299012</v>
      </c>
      <c r="N40" s="32">
        <v>2104746</v>
      </c>
      <c r="O40" s="23">
        <v>3.7201069912868789E-3</v>
      </c>
      <c r="P40" s="23">
        <v>6.1601356106639864E-4</v>
      </c>
      <c r="Q40" s="23">
        <v>4.3361205523532774E-3</v>
      </c>
    </row>
    <row r="41" spans="1:17" x14ac:dyDescent="0.35">
      <c r="A41" s="25" t="str">
        <f>'Allocation schedule Non'!C196</f>
        <v>Department of Corrections</v>
      </c>
      <c r="B41" s="7">
        <f>'2017 Prop share of contribs'!BT199</f>
        <v>9163</v>
      </c>
      <c r="D41" s="7">
        <f t="shared" si="11"/>
        <v>12812</v>
      </c>
      <c r="E41" s="7"/>
      <c r="F41" s="7">
        <f t="shared" si="12"/>
        <v>21975</v>
      </c>
      <c r="G41" s="21">
        <f t="shared" si="13"/>
        <v>9.5579267869400507E-6</v>
      </c>
      <c r="H41" s="21">
        <f t="shared" si="14"/>
        <v>1.3364199279087192E-5</v>
      </c>
      <c r="I41" s="23">
        <f t="shared" si="15"/>
        <v>2.2922126066027241E-5</v>
      </c>
      <c r="K41" s="32">
        <v>8014</v>
      </c>
      <c r="M41" s="32">
        <v>1327</v>
      </c>
      <c r="N41" s="32">
        <v>9341</v>
      </c>
      <c r="O41" s="23">
        <v>1.6510149018722054E-5</v>
      </c>
      <c r="P41" s="23">
        <v>2.7338367541607394E-6</v>
      </c>
      <c r="Q41" s="23">
        <v>1.9243985772882795E-5</v>
      </c>
    </row>
    <row r="42" spans="1:17" ht="15.45" x14ac:dyDescent="0.5">
      <c r="A42" s="25" t="str">
        <f>'Allocation schedule Non'!C210</f>
        <v>Education Professional Standards Board</v>
      </c>
      <c r="B42" s="16">
        <f>'2017 Prop share of contribs'!BT213</f>
        <v>127642</v>
      </c>
      <c r="C42" s="46"/>
      <c r="D42" s="16">
        <f t="shared" si="11"/>
        <v>178468</v>
      </c>
      <c r="E42" s="16"/>
      <c r="F42" s="16">
        <f t="shared" si="12"/>
        <v>306110</v>
      </c>
      <c r="G42" s="47">
        <f t="shared" si="13"/>
        <v>1.3314339091330372E-4</v>
      </c>
      <c r="H42" s="47">
        <f t="shared" si="14"/>
        <v>1.8615999976117178E-4</v>
      </c>
      <c r="I42" s="48">
        <f t="shared" si="15"/>
        <v>3.1930339067447547E-4</v>
      </c>
      <c r="K42" s="32">
        <v>105028</v>
      </c>
      <c r="M42" s="32">
        <v>17392</v>
      </c>
      <c r="N42" s="32">
        <v>122420</v>
      </c>
      <c r="O42" s="23">
        <v>2.1637483543028948E-4</v>
      </c>
      <c r="P42" s="23">
        <v>3.5830360835240072E-5</v>
      </c>
      <c r="Q42" s="23">
        <v>2.5220519626552957E-4</v>
      </c>
    </row>
    <row r="43" spans="1:17" x14ac:dyDescent="0.35">
      <c r="B43" s="17">
        <f>SUM(B29:B42)</f>
        <v>7091539</v>
      </c>
      <c r="D43" s="15">
        <f>SUM(D29:D42)</f>
        <v>9915354</v>
      </c>
      <c r="E43" s="15"/>
      <c r="F43" s="15">
        <f>SUM(F29:F42)</f>
        <v>17006893</v>
      </c>
      <c r="G43" s="21">
        <f>SUM(G29:G42)</f>
        <v>7.3971854816905014E-3</v>
      </c>
      <c r="H43" s="21">
        <f t="shared" ref="H43:I43" si="16">SUM(H29:H42)</f>
        <v>1.0342707366429463E-2</v>
      </c>
      <c r="I43" s="21">
        <f t="shared" si="16"/>
        <v>1.7739892848119967E-2</v>
      </c>
      <c r="J43" s="23" t="s">
        <v>303</v>
      </c>
      <c r="K43" s="15">
        <v>7289225</v>
      </c>
      <c r="M43" s="15">
        <v>1207027</v>
      </c>
      <c r="N43" s="15">
        <v>8496252</v>
      </c>
      <c r="O43" s="23">
        <v>1.5016994132891721E-2</v>
      </c>
      <c r="P43" s="23">
        <v>2.4866727775918421E-3</v>
      </c>
      <c r="Q43" s="23">
        <v>1.7503666910483565E-2</v>
      </c>
    </row>
    <row r="44" spans="1:17" x14ac:dyDescent="0.35">
      <c r="B44" s="17"/>
      <c r="D44" s="15"/>
      <c r="E44" s="15"/>
      <c r="F44" s="15"/>
      <c r="G44" s="21"/>
      <c r="H44" s="21"/>
      <c r="I44" s="21"/>
      <c r="J44" s="23"/>
      <c r="K44" s="15"/>
      <c r="M44" s="15"/>
      <c r="N44" s="15"/>
      <c r="O44" s="23"/>
      <c r="P44" s="23"/>
      <c r="Q44" s="23"/>
    </row>
    <row r="45" spans="1:17" x14ac:dyDescent="0.35">
      <c r="B45" s="17"/>
      <c r="D45" s="15"/>
      <c r="E45" s="15"/>
      <c r="F45" s="15"/>
      <c r="G45" s="355" t="s">
        <v>319</v>
      </c>
      <c r="H45" s="355"/>
      <c r="I45" s="355"/>
      <c r="J45" s="23"/>
      <c r="K45" s="15"/>
      <c r="M45" s="15"/>
      <c r="N45" s="15"/>
      <c r="O45" s="11" t="s">
        <v>319</v>
      </c>
    </row>
    <row r="46" spans="1:17" x14ac:dyDescent="0.35">
      <c r="B46" s="13" t="s">
        <v>310</v>
      </c>
      <c r="C46" s="13" t="s">
        <v>310</v>
      </c>
      <c r="D46" s="13" t="s">
        <v>310</v>
      </c>
      <c r="E46" s="137"/>
      <c r="F46" s="15"/>
      <c r="G46" s="21"/>
      <c r="H46" s="21"/>
      <c r="I46" s="21"/>
      <c r="J46" s="23"/>
      <c r="K46" s="11" t="s">
        <v>310</v>
      </c>
      <c r="L46" s="11" t="s">
        <v>310</v>
      </c>
      <c r="M46" s="11" t="s">
        <v>310</v>
      </c>
      <c r="N46" s="15"/>
      <c r="O46" s="23"/>
      <c r="P46" s="23"/>
      <c r="Q46" s="23"/>
    </row>
    <row r="47" spans="1:17" x14ac:dyDescent="0.35">
      <c r="B47" s="13" t="s">
        <v>321</v>
      </c>
      <c r="C47" s="13" t="s">
        <v>322</v>
      </c>
      <c r="D47" s="13" t="s">
        <v>318</v>
      </c>
      <c r="E47" s="137"/>
      <c r="F47" s="11" t="s">
        <v>317</v>
      </c>
      <c r="G47" s="11" t="s">
        <v>320</v>
      </c>
      <c r="H47" s="11" t="s">
        <v>308</v>
      </c>
      <c r="I47" s="11" t="s">
        <v>309</v>
      </c>
      <c r="K47" s="11" t="s">
        <v>321</v>
      </c>
      <c r="L47" s="11" t="s">
        <v>322</v>
      </c>
      <c r="M47" s="11" t="s">
        <v>318</v>
      </c>
      <c r="N47" s="11" t="s">
        <v>317</v>
      </c>
      <c r="O47" s="11" t="s">
        <v>320</v>
      </c>
      <c r="P47" s="11" t="s">
        <v>308</v>
      </c>
      <c r="Q47" s="11" t="s">
        <v>309</v>
      </c>
    </row>
    <row r="48" spans="1:17" ht="15.45" x14ac:dyDescent="0.5">
      <c r="A48" s="296" t="s">
        <v>120</v>
      </c>
      <c r="B48" s="7"/>
      <c r="H48" s="23"/>
      <c r="K48" s="32"/>
      <c r="P48" s="23"/>
    </row>
    <row r="49" spans="1:17" x14ac:dyDescent="0.35">
      <c r="A49" s="25" t="str">
        <f>'Allocation schedule Non'!C10</f>
        <v>Adair County Schools</v>
      </c>
      <c r="B49" s="15">
        <f>'2017 Prop share of contribs'!BT6</f>
        <v>1232285</v>
      </c>
      <c r="C49" s="7">
        <f t="shared" ref="C49:C80" si="17">ROUND(B49/$B$230*$D$245,0)</f>
        <v>161259</v>
      </c>
      <c r="D49" s="7">
        <f t="shared" ref="D49:D112" si="18">ROUND(B49/$B$234*(($D$244+$D$240)*0.95261),0)</f>
        <v>1722975</v>
      </c>
      <c r="E49" s="7"/>
      <c r="F49" s="7">
        <f t="shared" ref="F49:F80" si="19">B49+C49+D49</f>
        <v>3116519</v>
      </c>
      <c r="G49" s="21">
        <v>0</v>
      </c>
      <c r="H49" s="21">
        <f t="shared" ref="H49:H80" si="20">F49/($B$234+$D$234+$C$234)</f>
        <v>3.2508414746379596E-3</v>
      </c>
      <c r="I49" s="21">
        <f>G49+H49</f>
        <v>3.2508414746379596E-3</v>
      </c>
      <c r="J49" s="21"/>
      <c r="K49" s="15">
        <v>1232896</v>
      </c>
      <c r="L49" s="82">
        <v>160972</v>
      </c>
      <c r="M49" s="32">
        <v>204156</v>
      </c>
      <c r="N49" s="32">
        <v>1598024</v>
      </c>
      <c r="O49" s="23">
        <v>0</v>
      </c>
      <c r="P49" s="23">
        <v>3.2921904636254418E-3</v>
      </c>
      <c r="Q49" s="23">
        <v>3.2921904636254418E-3</v>
      </c>
    </row>
    <row r="50" spans="1:17" x14ac:dyDescent="0.35">
      <c r="A50" s="25" t="str">
        <f>'Allocation schedule Non'!C11</f>
        <v>Allen County Schools</v>
      </c>
      <c r="B50" s="7">
        <f>'2017 Prop share of contribs'!BT7</f>
        <v>1469648</v>
      </c>
      <c r="C50" s="7">
        <f t="shared" si="17"/>
        <v>192321</v>
      </c>
      <c r="D50" s="7">
        <f t="shared" si="18"/>
        <v>2054854</v>
      </c>
      <c r="E50" s="7"/>
      <c r="F50" s="7">
        <f t="shared" si="19"/>
        <v>3716823</v>
      </c>
      <c r="G50" s="21">
        <v>0</v>
      </c>
      <c r="H50" s="21">
        <f t="shared" si="20"/>
        <v>3.8770186744532232E-3</v>
      </c>
      <c r="I50" s="21">
        <f t="shared" ref="I50:I113" si="21">G50+H50</f>
        <v>3.8770186744532232E-3</v>
      </c>
      <c r="J50" s="21"/>
      <c r="K50" s="32">
        <v>1435048</v>
      </c>
      <c r="L50" s="82">
        <v>187366</v>
      </c>
      <c r="M50" s="32">
        <v>237630</v>
      </c>
      <c r="N50" s="32">
        <v>1860044</v>
      </c>
      <c r="O50" s="23">
        <v>0</v>
      </c>
      <c r="P50" s="23">
        <v>3.8319944623633447E-3</v>
      </c>
      <c r="Q50" s="23">
        <v>3.8319944623633447E-3</v>
      </c>
    </row>
    <row r="51" spans="1:17" x14ac:dyDescent="0.35">
      <c r="A51" s="25" t="str">
        <f>'Allocation schedule Non'!C12</f>
        <v>Anderson County Schools</v>
      </c>
      <c r="B51" s="7">
        <f>'2017 Prop share of contribs'!BT8</f>
        <v>1696894</v>
      </c>
      <c r="C51" s="7">
        <f t="shared" si="17"/>
        <v>222059</v>
      </c>
      <c r="D51" s="7">
        <f t="shared" si="18"/>
        <v>2372589</v>
      </c>
      <c r="E51" s="7"/>
      <c r="F51" s="7">
        <f t="shared" si="19"/>
        <v>4291542</v>
      </c>
      <c r="G51" s="21">
        <v>0</v>
      </c>
      <c r="H51" s="21">
        <f t="shared" si="20"/>
        <v>4.4765081566166412E-3</v>
      </c>
      <c r="I51" s="21">
        <f t="shared" si="21"/>
        <v>4.4765081566166412E-3</v>
      </c>
      <c r="J51" s="21"/>
      <c r="K51" s="32">
        <v>1714964</v>
      </c>
      <c r="L51" s="82">
        <v>223913</v>
      </c>
      <c r="M51" s="32">
        <v>283982</v>
      </c>
      <c r="N51" s="32">
        <v>2222859</v>
      </c>
      <c r="O51" s="23">
        <v>0</v>
      </c>
      <c r="P51" s="23">
        <v>4.5794526251069986E-3</v>
      </c>
      <c r="Q51" s="23">
        <v>4.5794526251069986E-3</v>
      </c>
    </row>
    <row r="52" spans="1:17" x14ac:dyDescent="0.35">
      <c r="A52" s="25" t="str">
        <f>'Allocation schedule Non'!C13</f>
        <v>Ballard County Schools</v>
      </c>
      <c r="B52" s="7">
        <f>'2017 Prop share of contribs'!BT9</f>
        <v>648539</v>
      </c>
      <c r="C52" s="7">
        <f t="shared" si="17"/>
        <v>84869</v>
      </c>
      <c r="D52" s="7">
        <f t="shared" si="18"/>
        <v>906784</v>
      </c>
      <c r="E52" s="7"/>
      <c r="F52" s="7">
        <f t="shared" si="19"/>
        <v>1640192</v>
      </c>
      <c r="G52" s="21">
        <v>0</v>
      </c>
      <c r="H52" s="21">
        <f t="shared" si="20"/>
        <v>1.7108845413647033E-3</v>
      </c>
      <c r="I52" s="21">
        <f t="shared" si="21"/>
        <v>1.7108845413647033E-3</v>
      </c>
      <c r="J52" s="21"/>
      <c r="K52" s="32">
        <v>654423</v>
      </c>
      <c r="L52" s="82">
        <v>85444</v>
      </c>
      <c r="M52" s="32">
        <v>108366</v>
      </c>
      <c r="N52" s="32">
        <v>848233</v>
      </c>
      <c r="O52" s="23">
        <v>0</v>
      </c>
      <c r="P52" s="23">
        <v>1.7474985316443304E-3</v>
      </c>
      <c r="Q52" s="23">
        <v>1.7474985316443304E-3</v>
      </c>
    </row>
    <row r="53" spans="1:17" x14ac:dyDescent="0.35">
      <c r="A53" s="25" t="str">
        <f>'Allocation schedule Non'!C14</f>
        <v>Barren County Schools</v>
      </c>
      <c r="B53" s="7">
        <f>'2017 Prop share of contribs'!BT10</f>
        <v>2479827</v>
      </c>
      <c r="C53" s="7">
        <f t="shared" si="17"/>
        <v>324515</v>
      </c>
      <c r="D53" s="7">
        <f t="shared" si="18"/>
        <v>3467282</v>
      </c>
      <c r="E53" s="7"/>
      <c r="F53" s="7">
        <f t="shared" si="19"/>
        <v>6271624</v>
      </c>
      <c r="G53" s="21">
        <v>0</v>
      </c>
      <c r="H53" s="21">
        <f t="shared" si="20"/>
        <v>6.5419320121375222E-3</v>
      </c>
      <c r="I53" s="21">
        <f t="shared" si="21"/>
        <v>6.5419320121375222E-3</v>
      </c>
      <c r="J53" s="21"/>
      <c r="K53" s="32">
        <v>2421594</v>
      </c>
      <c r="L53" s="82">
        <v>316174</v>
      </c>
      <c r="M53" s="32">
        <v>400993</v>
      </c>
      <c r="N53" s="32">
        <v>3138761</v>
      </c>
      <c r="O53" s="23">
        <v>0</v>
      </c>
      <c r="P53" s="23">
        <v>6.4663603499067945E-3</v>
      </c>
      <c r="Q53" s="23">
        <v>6.4663603499067945E-3</v>
      </c>
    </row>
    <row r="54" spans="1:17" x14ac:dyDescent="0.35">
      <c r="A54" s="25" t="str">
        <f>'Allocation schedule Non'!C15</f>
        <v>Bath County Schools</v>
      </c>
      <c r="B54" s="7">
        <f>'2017 Prop share of contribs'!BT11</f>
        <v>1033544</v>
      </c>
      <c r="C54" s="7">
        <f t="shared" si="17"/>
        <v>135252</v>
      </c>
      <c r="D54" s="7">
        <f t="shared" si="18"/>
        <v>1445096</v>
      </c>
      <c r="E54" s="7"/>
      <c r="F54" s="7">
        <f t="shared" si="19"/>
        <v>2613892</v>
      </c>
      <c r="G54" s="21">
        <v>0</v>
      </c>
      <c r="H54" s="21">
        <f t="shared" si="20"/>
        <v>2.7265511693733827E-3</v>
      </c>
      <c r="I54" s="21">
        <f t="shared" si="21"/>
        <v>2.7265511693733827E-3</v>
      </c>
      <c r="J54" s="21"/>
      <c r="K54" s="32">
        <v>1019486</v>
      </c>
      <c r="L54" s="82">
        <v>133109</v>
      </c>
      <c r="M54" s="32">
        <v>168817</v>
      </c>
      <c r="N54" s="32">
        <v>1321412</v>
      </c>
      <c r="O54" s="23">
        <v>0</v>
      </c>
      <c r="P54" s="23">
        <v>2.7223245614084787E-3</v>
      </c>
      <c r="Q54" s="23">
        <v>2.7223245614084787E-3</v>
      </c>
    </row>
    <row r="55" spans="1:17" x14ac:dyDescent="0.35">
      <c r="A55" s="25" t="str">
        <f>'Allocation schedule Non'!C16</f>
        <v>Bell County Schools</v>
      </c>
      <c r="B55" s="7">
        <f>'2017 Prop share of contribs'!BT12</f>
        <v>1278624</v>
      </c>
      <c r="C55" s="7">
        <f t="shared" si="17"/>
        <v>167323</v>
      </c>
      <c r="D55" s="7">
        <f t="shared" si="18"/>
        <v>1787766</v>
      </c>
      <c r="E55" s="7"/>
      <c r="F55" s="7">
        <f t="shared" si="19"/>
        <v>3233713</v>
      </c>
      <c r="G55" s="21">
        <v>0</v>
      </c>
      <c r="H55" s="21">
        <f t="shared" si="20"/>
        <v>3.3730865550557977E-3</v>
      </c>
      <c r="I55" s="21">
        <f t="shared" si="21"/>
        <v>3.3730865550557977E-3</v>
      </c>
      <c r="J55" s="21"/>
      <c r="K55" s="32">
        <v>1312545</v>
      </c>
      <c r="L55" s="82">
        <v>171372</v>
      </c>
      <c r="M55" s="32">
        <v>217345</v>
      </c>
      <c r="N55" s="32">
        <v>1701262</v>
      </c>
      <c r="O55" s="23">
        <v>0</v>
      </c>
      <c r="P55" s="23">
        <v>3.5048776066744594E-3</v>
      </c>
      <c r="Q55" s="23">
        <v>3.5048776066744594E-3</v>
      </c>
    </row>
    <row r="56" spans="1:17" x14ac:dyDescent="0.35">
      <c r="A56" s="25" t="str">
        <f>'Allocation schedule Non'!C17</f>
        <v>Boone County Schools</v>
      </c>
      <c r="B56" s="7">
        <f>'2017 Prop share of contribs'!BT13</f>
        <v>11480756</v>
      </c>
      <c r="C56" s="7">
        <f t="shared" si="17"/>
        <v>1502396</v>
      </c>
      <c r="D56" s="7">
        <f t="shared" si="18"/>
        <v>16052336</v>
      </c>
      <c r="E56" s="7"/>
      <c r="F56" s="7">
        <f t="shared" si="19"/>
        <v>29035488</v>
      </c>
      <c r="G56" s="21">
        <v>0</v>
      </c>
      <c r="H56" s="21">
        <f t="shared" si="20"/>
        <v>3.0286922244578896E-2</v>
      </c>
      <c r="I56" s="21">
        <f t="shared" si="21"/>
        <v>3.0286922244578896E-2</v>
      </c>
      <c r="J56" s="21"/>
      <c r="K56" s="32">
        <v>10989757</v>
      </c>
      <c r="L56" s="82">
        <v>1434871</v>
      </c>
      <c r="M56" s="32">
        <v>1819798</v>
      </c>
      <c r="N56" s="32">
        <v>14244426</v>
      </c>
      <c r="O56" s="23">
        <v>0</v>
      </c>
      <c r="P56" s="23">
        <v>2.9345844265804704E-2</v>
      </c>
      <c r="Q56" s="23">
        <v>2.9345844265804704E-2</v>
      </c>
    </row>
    <row r="57" spans="1:17" x14ac:dyDescent="0.35">
      <c r="A57" s="25" t="str">
        <f>'Allocation schedule Non'!C18</f>
        <v>Bourbon County Schools</v>
      </c>
      <c r="B57" s="7">
        <f>'2017 Prop share of contribs'!BT14</f>
        <v>1402436</v>
      </c>
      <c r="C57" s="7">
        <f t="shared" si="17"/>
        <v>183526</v>
      </c>
      <c r="D57" s="7">
        <f t="shared" si="18"/>
        <v>1960879</v>
      </c>
      <c r="E57" s="7"/>
      <c r="F57" s="7">
        <f t="shared" si="19"/>
        <v>3546841</v>
      </c>
      <c r="G57" s="21">
        <v>0</v>
      </c>
      <c r="H57" s="21">
        <f t="shared" si="20"/>
        <v>3.6997104226691299E-3</v>
      </c>
      <c r="I57" s="21">
        <f t="shared" si="21"/>
        <v>3.6997104226691299E-3</v>
      </c>
      <c r="J57" s="21"/>
      <c r="K57" s="32">
        <v>1384061</v>
      </c>
      <c r="L57" s="82">
        <v>180709</v>
      </c>
      <c r="M57" s="32">
        <v>229187</v>
      </c>
      <c r="N57" s="32">
        <v>1793957</v>
      </c>
      <c r="O57" s="23">
        <v>0</v>
      </c>
      <c r="P57" s="23">
        <v>3.69584444761412E-3</v>
      </c>
      <c r="Q57" s="23">
        <v>3.69584444761412E-3</v>
      </c>
    </row>
    <row r="58" spans="1:17" x14ac:dyDescent="0.35">
      <c r="A58" s="25" t="str">
        <f>'Allocation schedule Non'!C19</f>
        <v>Boyd County Schools</v>
      </c>
      <c r="B58" s="7">
        <f>'2017 Prop share of contribs'!BT15</f>
        <v>1646847</v>
      </c>
      <c r="C58" s="7">
        <f t="shared" si="17"/>
        <v>215510</v>
      </c>
      <c r="D58" s="7">
        <f t="shared" si="18"/>
        <v>2302613</v>
      </c>
      <c r="E58" s="7"/>
      <c r="F58" s="7">
        <f t="shared" si="19"/>
        <v>4164970</v>
      </c>
      <c r="G58" s="21">
        <v>0</v>
      </c>
      <c r="H58" s="21">
        <f t="shared" si="20"/>
        <v>4.3444808828769733E-3</v>
      </c>
      <c r="I58" s="21">
        <f t="shared" si="21"/>
        <v>4.3444808828769733E-3</v>
      </c>
      <c r="J58" s="21"/>
      <c r="K58" s="32">
        <v>1668657</v>
      </c>
      <c r="L58" s="82">
        <v>217867</v>
      </c>
      <c r="M58" s="32">
        <v>276314</v>
      </c>
      <c r="N58" s="32">
        <v>2162838</v>
      </c>
      <c r="O58" s="23">
        <v>0</v>
      </c>
      <c r="P58" s="23">
        <v>4.4557995611872684E-3</v>
      </c>
      <c r="Q58" s="23">
        <v>4.4557995611872684E-3</v>
      </c>
    </row>
    <row r="59" spans="1:17" x14ac:dyDescent="0.35">
      <c r="A59" s="25" t="str">
        <f>'Allocation schedule Non'!C20</f>
        <v>Boyle County Schools</v>
      </c>
      <c r="B59" s="7">
        <f>'2017 Prop share of contribs'!BT16</f>
        <v>1590333</v>
      </c>
      <c r="C59" s="7">
        <f t="shared" si="17"/>
        <v>208114</v>
      </c>
      <c r="D59" s="7">
        <f t="shared" si="18"/>
        <v>2223596</v>
      </c>
      <c r="E59" s="7"/>
      <c r="F59" s="7">
        <f t="shared" si="19"/>
        <v>4022043</v>
      </c>
      <c r="G59" s="21">
        <v>0</v>
      </c>
      <c r="H59" s="21">
        <f t="shared" si="20"/>
        <v>4.1953937059832722E-3</v>
      </c>
      <c r="I59" s="21">
        <f t="shared" si="21"/>
        <v>4.1953937059832722E-3</v>
      </c>
      <c r="J59" s="21"/>
      <c r="K59" s="32">
        <v>1538754</v>
      </c>
      <c r="L59" s="82">
        <v>200906</v>
      </c>
      <c r="M59" s="32">
        <v>254803</v>
      </c>
      <c r="N59" s="32">
        <v>1994463</v>
      </c>
      <c r="O59" s="23">
        <v>0</v>
      </c>
      <c r="P59" s="23">
        <v>4.1089195585634446E-3</v>
      </c>
      <c r="Q59" s="23">
        <v>4.1089195585634446E-3</v>
      </c>
    </row>
    <row r="60" spans="1:17" x14ac:dyDescent="0.35">
      <c r="A60" s="25" t="str">
        <f>'Allocation schedule Non'!C21</f>
        <v>Bracken County Schools</v>
      </c>
      <c r="B60" s="7">
        <f>'2017 Prop share of contribs'!BT17</f>
        <v>606572</v>
      </c>
      <c r="C60" s="7">
        <f t="shared" si="17"/>
        <v>79377</v>
      </c>
      <c r="D60" s="7">
        <f t="shared" si="18"/>
        <v>848106</v>
      </c>
      <c r="E60" s="7"/>
      <c r="F60" s="7">
        <f t="shared" si="19"/>
        <v>1534055</v>
      </c>
      <c r="G60" s="21">
        <v>0</v>
      </c>
      <c r="H60" s="21">
        <f t="shared" si="20"/>
        <v>1.6001730194411569E-3</v>
      </c>
      <c r="I60" s="21">
        <f t="shared" si="21"/>
        <v>1.6001730194411569E-3</v>
      </c>
      <c r="J60" s="21"/>
      <c r="K60" s="32">
        <v>597390</v>
      </c>
      <c r="L60" s="82">
        <v>77998</v>
      </c>
      <c r="M60" s="32">
        <v>98922</v>
      </c>
      <c r="N60" s="32">
        <v>774310</v>
      </c>
      <c r="O60" s="23">
        <v>0</v>
      </c>
      <c r="P60" s="23">
        <v>1.5952050769511695E-3</v>
      </c>
      <c r="Q60" s="23">
        <v>1.5952050769511695E-3</v>
      </c>
    </row>
    <row r="61" spans="1:17" x14ac:dyDescent="0.35">
      <c r="A61" s="25" t="str">
        <f>'Allocation schedule Non'!C22</f>
        <v>Breathitt County Schools</v>
      </c>
      <c r="B61" s="7">
        <f>'2017 Prop share of contribs'!BT18</f>
        <v>974723</v>
      </c>
      <c r="C61" s="7">
        <f t="shared" si="17"/>
        <v>127554</v>
      </c>
      <c r="D61" s="7">
        <f t="shared" si="18"/>
        <v>1362853</v>
      </c>
      <c r="E61" s="7"/>
      <c r="F61" s="7">
        <f t="shared" si="19"/>
        <v>2465130</v>
      </c>
      <c r="G61" s="21">
        <v>0</v>
      </c>
      <c r="H61" s="21">
        <f t="shared" si="20"/>
        <v>2.5713775030327983E-3</v>
      </c>
      <c r="I61" s="21">
        <f t="shared" si="21"/>
        <v>2.5713775030327983E-3</v>
      </c>
      <c r="J61" s="21"/>
      <c r="K61" s="32">
        <v>997942</v>
      </c>
      <c r="L61" s="82">
        <v>130296</v>
      </c>
      <c r="M61" s="32">
        <v>165250</v>
      </c>
      <c r="N61" s="32">
        <v>1293488</v>
      </c>
      <c r="O61" s="23">
        <v>0</v>
      </c>
      <c r="P61" s="23">
        <v>2.6647965602606379E-3</v>
      </c>
      <c r="Q61" s="23">
        <v>2.6647965602606379E-3</v>
      </c>
    </row>
    <row r="62" spans="1:17" x14ac:dyDescent="0.35">
      <c r="A62" s="25" t="str">
        <f>'Allocation schedule Non'!C23</f>
        <v>Breckinridge County Schools</v>
      </c>
      <c r="B62" s="7">
        <f>'2017 Prop share of contribs'!BT19</f>
        <v>1351380</v>
      </c>
      <c r="C62" s="7">
        <f t="shared" si="17"/>
        <v>176844</v>
      </c>
      <c r="D62" s="7">
        <f t="shared" si="18"/>
        <v>1889493</v>
      </c>
      <c r="E62" s="7"/>
      <c r="F62" s="7">
        <f t="shared" si="19"/>
        <v>3417717</v>
      </c>
      <c r="G62" s="21">
        <v>0</v>
      </c>
      <c r="H62" s="21">
        <f t="shared" si="20"/>
        <v>3.5650211573153325E-3</v>
      </c>
      <c r="I62" s="21">
        <f t="shared" si="21"/>
        <v>3.5650211573153325E-3</v>
      </c>
      <c r="J62" s="21"/>
      <c r="K62" s="32">
        <v>1339083</v>
      </c>
      <c r="L62" s="82">
        <v>174837</v>
      </c>
      <c r="M62" s="32">
        <v>221739</v>
      </c>
      <c r="N62" s="32">
        <v>1735659</v>
      </c>
      <c r="O62" s="23">
        <v>0</v>
      </c>
      <c r="P62" s="23">
        <v>3.5757410451317819E-3</v>
      </c>
      <c r="Q62" s="23">
        <v>3.5757410451317819E-3</v>
      </c>
    </row>
    <row r="63" spans="1:17" x14ac:dyDescent="0.35">
      <c r="A63" s="25" t="str">
        <f>'Allocation schedule Non'!C24</f>
        <v>Bullitt County Schools</v>
      </c>
      <c r="B63" s="7">
        <f>'2017 Prop share of contribs'!BT20</f>
        <v>6867827</v>
      </c>
      <c r="C63" s="7">
        <f t="shared" si="17"/>
        <v>898738</v>
      </c>
      <c r="D63" s="7">
        <f t="shared" si="18"/>
        <v>9602561</v>
      </c>
      <c r="E63" s="7"/>
      <c r="F63" s="7">
        <f t="shared" si="19"/>
        <v>17369126</v>
      </c>
      <c r="G63" s="21">
        <v>0</v>
      </c>
      <c r="H63" s="21">
        <f t="shared" si="20"/>
        <v>1.8117738149201888E-2</v>
      </c>
      <c r="I63" s="21">
        <f t="shared" si="21"/>
        <v>1.8117738149201888E-2</v>
      </c>
      <c r="J63" s="21"/>
      <c r="K63" s="32">
        <v>6719635</v>
      </c>
      <c r="L63" s="82">
        <v>877345</v>
      </c>
      <c r="M63" s="32">
        <v>1112707</v>
      </c>
      <c r="N63" s="32">
        <v>8709687</v>
      </c>
      <c r="O63" s="23">
        <v>0</v>
      </c>
      <c r="P63" s="23">
        <v>1.7943377873275046E-2</v>
      </c>
      <c r="Q63" s="23">
        <v>1.7943377873275046E-2</v>
      </c>
    </row>
    <row r="64" spans="1:17" x14ac:dyDescent="0.35">
      <c r="A64" s="25" t="str">
        <f>'Allocation schedule Non'!C25</f>
        <v>Butler County Schools</v>
      </c>
      <c r="B64" s="7">
        <f>'2017 Prop share of contribs'!BT21</f>
        <v>1013674</v>
      </c>
      <c r="C64" s="7">
        <f t="shared" si="17"/>
        <v>132652</v>
      </c>
      <c r="D64" s="7">
        <f t="shared" si="18"/>
        <v>1417314</v>
      </c>
      <c r="E64" s="7"/>
      <c r="F64" s="7">
        <f t="shared" si="19"/>
        <v>2563640</v>
      </c>
      <c r="G64" s="21">
        <v>0</v>
      </c>
      <c r="H64" s="21">
        <f t="shared" si="20"/>
        <v>2.6741333000186614E-3</v>
      </c>
      <c r="I64" s="21">
        <f t="shared" si="21"/>
        <v>2.6741333000186614E-3</v>
      </c>
      <c r="J64" s="21"/>
      <c r="K64" s="32">
        <v>1040855</v>
      </c>
      <c r="L64" s="82">
        <v>135899</v>
      </c>
      <c r="M64" s="32">
        <v>172356</v>
      </c>
      <c r="N64" s="32">
        <v>1349110</v>
      </c>
      <c r="O64" s="23">
        <v>0</v>
      </c>
      <c r="P64" s="23">
        <v>2.7793869656411417E-3</v>
      </c>
      <c r="Q64" s="23">
        <v>2.7793869656411417E-3</v>
      </c>
    </row>
    <row r="65" spans="1:17" x14ac:dyDescent="0.35">
      <c r="A65" s="25" t="str">
        <f>'Allocation schedule Non'!C26</f>
        <v>Caldwell County Schools</v>
      </c>
      <c r="B65" s="7">
        <f>'2017 Prop share of contribs'!BT22</f>
        <v>867759</v>
      </c>
      <c r="C65" s="7">
        <f t="shared" si="17"/>
        <v>113557</v>
      </c>
      <c r="D65" s="7">
        <f t="shared" si="18"/>
        <v>1213296</v>
      </c>
      <c r="E65" s="7"/>
      <c r="F65" s="7">
        <f t="shared" si="19"/>
        <v>2194612</v>
      </c>
      <c r="G65" s="21">
        <v>0</v>
      </c>
      <c r="H65" s="21">
        <f t="shared" si="20"/>
        <v>2.2892001333340698E-3</v>
      </c>
      <c r="I65" s="21">
        <f t="shared" si="21"/>
        <v>2.2892001333340698E-3</v>
      </c>
      <c r="J65" s="21"/>
      <c r="K65" s="32">
        <v>901764</v>
      </c>
      <c r="L65" s="82">
        <v>117738</v>
      </c>
      <c r="M65" s="32">
        <v>149323</v>
      </c>
      <c r="N65" s="32">
        <v>1168825</v>
      </c>
      <c r="O65" s="23">
        <v>0</v>
      </c>
      <c r="P65" s="23">
        <v>2.4079704176201405E-3</v>
      </c>
      <c r="Q65" s="23">
        <v>2.4079704176201405E-3</v>
      </c>
    </row>
    <row r="66" spans="1:17" x14ac:dyDescent="0.35">
      <c r="A66" s="25" t="str">
        <f>'Allocation schedule Non'!C27</f>
        <v>Calloway County Schools</v>
      </c>
      <c r="B66" s="7">
        <f>'2017 Prop share of contribs'!BT23</f>
        <v>1533576</v>
      </c>
      <c r="C66" s="7">
        <f t="shared" si="17"/>
        <v>200687</v>
      </c>
      <c r="D66" s="7">
        <f t="shared" si="18"/>
        <v>2144238</v>
      </c>
      <c r="E66" s="7"/>
      <c r="F66" s="7">
        <f t="shared" si="19"/>
        <v>3878501</v>
      </c>
      <c r="G66" s="21">
        <v>0</v>
      </c>
      <c r="H66" s="21">
        <f t="shared" si="20"/>
        <v>4.0456650224897717E-3</v>
      </c>
      <c r="I66" s="21">
        <f t="shared" si="21"/>
        <v>4.0456650224897717E-3</v>
      </c>
      <c r="J66" s="21"/>
      <c r="K66" s="32">
        <v>1579898</v>
      </c>
      <c r="L66" s="82">
        <v>206278</v>
      </c>
      <c r="M66" s="32">
        <v>261616</v>
      </c>
      <c r="N66" s="32">
        <v>2047792</v>
      </c>
      <c r="O66" s="23">
        <v>0</v>
      </c>
      <c r="P66" s="23">
        <v>4.2187860094019059E-3</v>
      </c>
      <c r="Q66" s="23">
        <v>4.2187860094019059E-3</v>
      </c>
    </row>
    <row r="67" spans="1:17" x14ac:dyDescent="0.35">
      <c r="A67" s="25" t="str">
        <f>'Allocation schedule Non'!C28</f>
        <v>Campbell County Schools</v>
      </c>
      <c r="B67" s="7">
        <f>'2017 Prop share of contribs'!BT24</f>
        <v>2483064</v>
      </c>
      <c r="C67" s="7">
        <f t="shared" si="17"/>
        <v>324939</v>
      </c>
      <c r="D67" s="7">
        <f t="shared" si="18"/>
        <v>3471808</v>
      </c>
      <c r="E67" s="7"/>
      <c r="F67" s="7">
        <f t="shared" si="19"/>
        <v>6279811</v>
      </c>
      <c r="G67" s="21">
        <v>0</v>
      </c>
      <c r="H67" s="21">
        <f t="shared" si="20"/>
        <v>6.5504718731660798E-3</v>
      </c>
      <c r="I67" s="21">
        <f t="shared" si="21"/>
        <v>6.5504718731660798E-3</v>
      </c>
      <c r="J67" s="21"/>
      <c r="K67" s="32">
        <v>2403677</v>
      </c>
      <c r="L67" s="82">
        <v>313835</v>
      </c>
      <c r="M67" s="32">
        <v>398026</v>
      </c>
      <c r="N67" s="32">
        <v>3115538</v>
      </c>
      <c r="O67" s="23">
        <v>0</v>
      </c>
      <c r="P67" s="23">
        <v>6.4185171766273112E-3</v>
      </c>
      <c r="Q67" s="23">
        <v>6.4185171766273112E-3</v>
      </c>
    </row>
    <row r="68" spans="1:17" x14ac:dyDescent="0.35">
      <c r="A68" s="25" t="str">
        <f>'Allocation schedule Non'!C29</f>
        <v>Carlisle County Schools</v>
      </c>
      <c r="B68" s="7">
        <f>'2017 Prop share of contribs'!BT25</f>
        <v>407333</v>
      </c>
      <c r="C68" s="7">
        <f t="shared" si="17"/>
        <v>53304</v>
      </c>
      <c r="D68" s="7">
        <f t="shared" si="18"/>
        <v>569531</v>
      </c>
      <c r="E68" s="7"/>
      <c r="F68" s="7">
        <f t="shared" si="19"/>
        <v>1030168</v>
      </c>
      <c r="G68" s="21">
        <v>0</v>
      </c>
      <c r="H68" s="21">
        <f t="shared" si="20"/>
        <v>1.0745684079721115E-3</v>
      </c>
      <c r="I68" s="21">
        <f t="shared" si="21"/>
        <v>1.0745684079721115E-3</v>
      </c>
      <c r="J68" s="21"/>
      <c r="K68" s="32">
        <v>402491</v>
      </c>
      <c r="L68" s="82">
        <v>52551</v>
      </c>
      <c r="M68" s="32">
        <v>66649</v>
      </c>
      <c r="N68" s="32">
        <v>521691</v>
      </c>
      <c r="O68" s="23">
        <v>0</v>
      </c>
      <c r="P68" s="23">
        <v>1.0747686737866391E-3</v>
      </c>
      <c r="Q68" s="23">
        <v>1.0747686737866391E-3</v>
      </c>
    </row>
    <row r="69" spans="1:17" x14ac:dyDescent="0.35">
      <c r="A69" s="25" t="str">
        <f>'Allocation schedule Non'!C30</f>
        <v>Carroll County Schools</v>
      </c>
      <c r="B69" s="7">
        <f>'2017 Prop share of contribs'!BT26</f>
        <v>1093311</v>
      </c>
      <c r="C69" s="7">
        <f t="shared" si="17"/>
        <v>143073</v>
      </c>
      <c r="D69" s="7">
        <f t="shared" si="18"/>
        <v>1528662</v>
      </c>
      <c r="E69" s="7"/>
      <c r="F69" s="7">
        <f t="shared" si="19"/>
        <v>2765046</v>
      </c>
      <c r="G69" s="21">
        <v>0</v>
      </c>
      <c r="H69" s="21">
        <f t="shared" si="20"/>
        <v>2.8842199313021326E-3</v>
      </c>
      <c r="I69" s="21">
        <f t="shared" si="21"/>
        <v>2.8842199313021326E-3</v>
      </c>
      <c r="J69" s="21"/>
      <c r="K69" s="32">
        <v>1072330</v>
      </c>
      <c r="L69" s="82">
        <v>140008</v>
      </c>
      <c r="M69" s="32">
        <v>177568</v>
      </c>
      <c r="N69" s="32">
        <v>1389906</v>
      </c>
      <c r="O69" s="23">
        <v>0</v>
      </c>
      <c r="P69" s="23">
        <v>2.8634333893206758E-3</v>
      </c>
      <c r="Q69" s="23">
        <v>2.8634333893206758E-3</v>
      </c>
    </row>
    <row r="70" spans="1:17" x14ac:dyDescent="0.35">
      <c r="A70" s="25" t="str">
        <f>'Allocation schedule Non'!C31</f>
        <v>Carter County Schools</v>
      </c>
      <c r="B70" s="7">
        <f>'2017 Prop share of contribs'!BT27</f>
        <v>2081055</v>
      </c>
      <c r="C70" s="7">
        <f t="shared" si="17"/>
        <v>272331</v>
      </c>
      <c r="D70" s="7">
        <f t="shared" si="18"/>
        <v>2909721</v>
      </c>
      <c r="E70" s="7"/>
      <c r="F70" s="7">
        <f t="shared" si="19"/>
        <v>5263107</v>
      </c>
      <c r="G70" s="21">
        <v>0</v>
      </c>
      <c r="H70" s="21">
        <f t="shared" si="20"/>
        <v>5.4899477657788598E-3</v>
      </c>
      <c r="I70" s="21">
        <f t="shared" si="21"/>
        <v>5.4899477657788598E-3</v>
      </c>
      <c r="J70" s="21"/>
      <c r="K70" s="32">
        <v>2144772</v>
      </c>
      <c r="L70" s="82">
        <v>280031</v>
      </c>
      <c r="M70" s="32">
        <v>355154</v>
      </c>
      <c r="N70" s="32">
        <v>2779957</v>
      </c>
      <c r="O70" s="23">
        <v>0</v>
      </c>
      <c r="P70" s="23">
        <v>5.7271655023258677E-3</v>
      </c>
      <c r="Q70" s="23">
        <v>5.7271655023258677E-3</v>
      </c>
    </row>
    <row r="71" spans="1:17" x14ac:dyDescent="0.35">
      <c r="A71" s="25" t="str">
        <f>'Allocation schedule Non'!C32</f>
        <v>Casey County Schools</v>
      </c>
      <c r="B71" s="7">
        <f>'2017 Prop share of contribs'!BT28</f>
        <v>1029198</v>
      </c>
      <c r="C71" s="7">
        <f t="shared" si="17"/>
        <v>134683</v>
      </c>
      <c r="D71" s="7">
        <f t="shared" si="18"/>
        <v>1439020</v>
      </c>
      <c r="E71" s="7"/>
      <c r="F71" s="7">
        <f t="shared" si="19"/>
        <v>2602901</v>
      </c>
      <c r="G71" s="21">
        <v>0</v>
      </c>
      <c r="H71" s="21">
        <f t="shared" si="20"/>
        <v>2.7150864554898011E-3</v>
      </c>
      <c r="I71" s="21">
        <f t="shared" si="21"/>
        <v>2.7150864554898011E-3</v>
      </c>
      <c r="J71" s="21"/>
      <c r="K71" s="32">
        <v>1019227</v>
      </c>
      <c r="L71" s="82">
        <v>133075</v>
      </c>
      <c r="M71" s="32">
        <v>168774</v>
      </c>
      <c r="N71" s="32">
        <v>1321076</v>
      </c>
      <c r="O71" s="23">
        <v>0</v>
      </c>
      <c r="P71" s="23">
        <v>2.7216323465257368E-3</v>
      </c>
      <c r="Q71" s="23">
        <v>2.7216323465257368E-3</v>
      </c>
    </row>
    <row r="72" spans="1:17" x14ac:dyDescent="0.35">
      <c r="A72" s="25" t="str">
        <f>'Allocation schedule Non'!C33</f>
        <v>Christian County Schools</v>
      </c>
      <c r="B72" s="7">
        <f>'2017 Prop share of contribs'!BT29</f>
        <v>4131315</v>
      </c>
      <c r="C72" s="7">
        <f t="shared" si="17"/>
        <v>540633</v>
      </c>
      <c r="D72" s="7">
        <f t="shared" si="18"/>
        <v>5776384</v>
      </c>
      <c r="E72" s="7"/>
      <c r="F72" s="7">
        <f t="shared" si="19"/>
        <v>10448332</v>
      </c>
      <c r="G72" s="21">
        <v>0</v>
      </c>
      <c r="H72" s="21">
        <f t="shared" si="20"/>
        <v>1.0898656804719298E-2</v>
      </c>
      <c r="I72" s="21">
        <f t="shared" si="21"/>
        <v>1.0898656804719298E-2</v>
      </c>
      <c r="J72" s="21"/>
      <c r="K72" s="32">
        <v>4148709</v>
      </c>
      <c r="L72" s="82">
        <v>541674</v>
      </c>
      <c r="M72" s="32">
        <v>686986</v>
      </c>
      <c r="N72" s="32">
        <v>5377369</v>
      </c>
      <c r="O72" s="23">
        <v>0</v>
      </c>
      <c r="P72" s="23">
        <v>1.1078258487478961E-2</v>
      </c>
      <c r="Q72" s="23">
        <v>1.1078258487478961E-2</v>
      </c>
    </row>
    <row r="73" spans="1:17" x14ac:dyDescent="0.35">
      <c r="A73" s="25" t="str">
        <f>'Allocation schedule Non'!C34</f>
        <v>Clark County Schools</v>
      </c>
      <c r="B73" s="7">
        <f>'2017 Prop share of contribs'!BT30</f>
        <v>2664894</v>
      </c>
      <c r="C73" s="7">
        <f t="shared" si="17"/>
        <v>348734</v>
      </c>
      <c r="D73" s="7">
        <f t="shared" si="18"/>
        <v>3726041</v>
      </c>
      <c r="E73" s="7"/>
      <c r="F73" s="7">
        <f t="shared" si="19"/>
        <v>6739669</v>
      </c>
      <c r="G73" s="21">
        <v>0</v>
      </c>
      <c r="H73" s="21">
        <f t="shared" si="20"/>
        <v>7.030149827590251E-3</v>
      </c>
      <c r="I73" s="21">
        <f t="shared" si="21"/>
        <v>7.030149827590251E-3</v>
      </c>
      <c r="J73" s="21"/>
      <c r="K73" s="32">
        <v>2654091</v>
      </c>
      <c r="L73" s="82">
        <v>346530</v>
      </c>
      <c r="M73" s="32">
        <v>439492</v>
      </c>
      <c r="N73" s="32">
        <v>3440113</v>
      </c>
      <c r="O73" s="23">
        <v>0</v>
      </c>
      <c r="P73" s="23">
        <v>7.0871946931922863E-3</v>
      </c>
      <c r="Q73" s="23">
        <v>7.0871946931922863E-3</v>
      </c>
    </row>
    <row r="74" spans="1:17" x14ac:dyDescent="0.35">
      <c r="A74" s="25" t="str">
        <f>'Allocation schedule Non'!C35</f>
        <v>Clay County Schools</v>
      </c>
      <c r="B74" s="7">
        <f>'2017 Prop share of contribs'!BT31</f>
        <v>1646337</v>
      </c>
      <c r="C74" s="7">
        <f t="shared" si="17"/>
        <v>215443</v>
      </c>
      <c r="D74" s="7">
        <f t="shared" si="18"/>
        <v>2301900</v>
      </c>
      <c r="E74" s="7"/>
      <c r="F74" s="7">
        <f t="shared" si="19"/>
        <v>4163680</v>
      </c>
      <c r="G74" s="21">
        <v>0</v>
      </c>
      <c r="H74" s="21">
        <f t="shared" si="20"/>
        <v>4.3431352836676368E-3</v>
      </c>
      <c r="I74" s="21">
        <f t="shared" si="21"/>
        <v>4.3431352836676368E-3</v>
      </c>
      <c r="J74" s="21"/>
      <c r="K74" s="32">
        <v>1652847</v>
      </c>
      <c r="L74" s="82">
        <v>215803</v>
      </c>
      <c r="M74" s="32">
        <v>273696</v>
      </c>
      <c r="N74" s="32">
        <v>2142346</v>
      </c>
      <c r="O74" s="23">
        <v>0</v>
      </c>
      <c r="P74" s="23">
        <v>4.413582693993401E-3</v>
      </c>
      <c r="Q74" s="23">
        <v>4.413582693993401E-3</v>
      </c>
    </row>
    <row r="75" spans="1:17" x14ac:dyDescent="0.35">
      <c r="A75" s="25" t="str">
        <f>'Allocation schedule Non'!C36</f>
        <v>Clinton County Schools</v>
      </c>
      <c r="B75" s="7">
        <f>'2017 Prop share of contribs'!BT32</f>
        <v>862543</v>
      </c>
      <c r="C75" s="7">
        <f t="shared" si="17"/>
        <v>112874</v>
      </c>
      <c r="D75" s="7">
        <f t="shared" si="18"/>
        <v>1206003</v>
      </c>
      <c r="E75" s="7"/>
      <c r="F75" s="7">
        <f t="shared" si="19"/>
        <v>2181420</v>
      </c>
      <c r="G75" s="21">
        <v>0</v>
      </c>
      <c r="H75" s="21">
        <f t="shared" si="20"/>
        <v>2.2754395559933176E-3</v>
      </c>
      <c r="I75" s="21">
        <f t="shared" si="21"/>
        <v>2.2754395559933176E-3</v>
      </c>
      <c r="J75" s="21"/>
      <c r="K75" s="32">
        <v>844183</v>
      </c>
      <c r="L75" s="82">
        <v>110220</v>
      </c>
      <c r="M75" s="32">
        <v>139789</v>
      </c>
      <c r="N75" s="32">
        <v>1094192</v>
      </c>
      <c r="O75" s="23">
        <v>0</v>
      </c>
      <c r="P75" s="23">
        <v>2.2542142469545198E-3</v>
      </c>
      <c r="Q75" s="23">
        <v>2.2542142469545198E-3</v>
      </c>
    </row>
    <row r="76" spans="1:17" x14ac:dyDescent="0.35">
      <c r="A76" s="25" t="str">
        <f>'Allocation schedule Non'!C37</f>
        <v>Crittenden County Schools</v>
      </c>
      <c r="B76" s="7">
        <f>'2017 Prop share of contribs'!BT33</f>
        <v>607194</v>
      </c>
      <c r="C76" s="7">
        <f t="shared" si="17"/>
        <v>79459</v>
      </c>
      <c r="D76" s="7">
        <f t="shared" si="18"/>
        <v>848976</v>
      </c>
      <c r="E76" s="7"/>
      <c r="F76" s="7">
        <f t="shared" si="19"/>
        <v>1535629</v>
      </c>
      <c r="G76" s="21">
        <v>0</v>
      </c>
      <c r="H76" s="21">
        <f t="shared" si="20"/>
        <v>1.6018148590965801E-3</v>
      </c>
      <c r="I76" s="21">
        <f t="shared" si="21"/>
        <v>1.6018148590965801E-3</v>
      </c>
      <c r="J76" s="21"/>
      <c r="K76" s="32">
        <v>602056</v>
      </c>
      <c r="L76" s="82">
        <v>78607</v>
      </c>
      <c r="M76" s="32">
        <v>99695</v>
      </c>
      <c r="N76" s="32">
        <v>780358</v>
      </c>
      <c r="O76" s="23">
        <v>0</v>
      </c>
      <c r="P76" s="23">
        <v>1.6076649448405172E-3</v>
      </c>
      <c r="Q76" s="23">
        <v>1.6076649448405172E-3</v>
      </c>
    </row>
    <row r="77" spans="1:17" x14ac:dyDescent="0.35">
      <c r="A77" s="25" t="str">
        <f>'Allocation schedule Non'!C38</f>
        <v>Cumberland County Schools</v>
      </c>
      <c r="B77" s="7">
        <f>'2017 Prop share of contribs'!BT34</f>
        <v>454045</v>
      </c>
      <c r="C77" s="7">
        <f t="shared" si="17"/>
        <v>59417</v>
      </c>
      <c r="D77" s="7">
        <f t="shared" si="18"/>
        <v>634843</v>
      </c>
      <c r="E77" s="7"/>
      <c r="F77" s="7">
        <f t="shared" si="19"/>
        <v>1148305</v>
      </c>
      <c r="G77" s="21">
        <v>0</v>
      </c>
      <c r="H77" s="21">
        <f t="shared" si="20"/>
        <v>1.1977971318429767E-3</v>
      </c>
      <c r="I77" s="21">
        <f t="shared" si="21"/>
        <v>1.1977971318429767E-3</v>
      </c>
      <c r="J77" s="21"/>
      <c r="K77" s="32">
        <v>469526</v>
      </c>
      <c r="L77" s="82">
        <v>61303</v>
      </c>
      <c r="M77" s="32">
        <v>77749</v>
      </c>
      <c r="N77" s="32">
        <v>608578</v>
      </c>
      <c r="O77" s="23">
        <v>0</v>
      </c>
      <c r="P77" s="23">
        <v>1.2537700860389106E-3</v>
      </c>
      <c r="Q77" s="23">
        <v>1.2537700860389106E-3</v>
      </c>
    </row>
    <row r="78" spans="1:17" x14ac:dyDescent="0.35">
      <c r="A78" s="25" t="str">
        <f>'Allocation schedule Non'!C39</f>
        <v>Daviess County Schools</v>
      </c>
      <c r="B78" s="7">
        <f>'2017 Prop share of contribs'!BT35</f>
        <v>6005407</v>
      </c>
      <c r="C78" s="7">
        <f t="shared" si="17"/>
        <v>785880</v>
      </c>
      <c r="D78" s="7">
        <f t="shared" si="18"/>
        <v>8396730</v>
      </c>
      <c r="E78" s="7"/>
      <c r="F78" s="7">
        <f t="shared" si="19"/>
        <v>15188017</v>
      </c>
      <c r="G78" s="21">
        <v>0</v>
      </c>
      <c r="H78" s="21">
        <f t="shared" si="20"/>
        <v>1.584262299735904E-2</v>
      </c>
      <c r="I78" s="21">
        <f t="shared" si="21"/>
        <v>1.584262299735904E-2</v>
      </c>
      <c r="J78" s="21"/>
      <c r="K78" s="32">
        <v>5911716</v>
      </c>
      <c r="L78" s="82">
        <v>771860</v>
      </c>
      <c r="M78" s="32">
        <v>978923</v>
      </c>
      <c r="N78" s="32">
        <v>7662499</v>
      </c>
      <c r="O78" s="23">
        <v>0</v>
      </c>
      <c r="P78" s="23">
        <v>1.5785999544024047E-2</v>
      </c>
      <c r="Q78" s="23">
        <v>1.5785999544024047E-2</v>
      </c>
    </row>
    <row r="79" spans="1:17" x14ac:dyDescent="0.35">
      <c r="A79" s="25" t="str">
        <f>'Allocation schedule Non'!C40</f>
        <v>Edmonson County Schools</v>
      </c>
      <c r="B79" s="7">
        <f>'2017 Prop share of contribs'!BT36</f>
        <v>931368</v>
      </c>
      <c r="C79" s="7">
        <f t="shared" si="17"/>
        <v>121881</v>
      </c>
      <c r="D79" s="7">
        <f t="shared" si="18"/>
        <v>1302234</v>
      </c>
      <c r="E79" s="7"/>
      <c r="F79" s="7">
        <f t="shared" si="19"/>
        <v>2355483</v>
      </c>
      <c r="G79" s="21">
        <v>0</v>
      </c>
      <c r="H79" s="21">
        <f t="shared" si="20"/>
        <v>2.4570046995396611E-3</v>
      </c>
      <c r="I79" s="21">
        <f t="shared" si="21"/>
        <v>2.4570046995396611E-3</v>
      </c>
      <c r="J79" s="21"/>
      <c r="K79" s="32">
        <v>907864</v>
      </c>
      <c r="L79" s="82">
        <v>118535</v>
      </c>
      <c r="M79" s="32">
        <v>150334</v>
      </c>
      <c r="N79" s="32">
        <v>1176733</v>
      </c>
      <c r="O79" s="23">
        <v>0</v>
      </c>
      <c r="P79" s="23">
        <v>2.424262189324664E-3</v>
      </c>
      <c r="Q79" s="23">
        <v>2.424262189324664E-3</v>
      </c>
    </row>
    <row r="80" spans="1:17" x14ac:dyDescent="0.35">
      <c r="A80" s="25" t="str">
        <f>'Allocation schedule Non'!C41</f>
        <v>Elliott County Schools</v>
      </c>
      <c r="B80" s="7">
        <f>'2017 Prop share of contribs'!BT37</f>
        <v>552607</v>
      </c>
      <c r="C80" s="7">
        <f t="shared" si="17"/>
        <v>72315</v>
      </c>
      <c r="D80" s="7">
        <f t="shared" si="18"/>
        <v>772652</v>
      </c>
      <c r="E80" s="7"/>
      <c r="F80" s="7">
        <f t="shared" si="19"/>
        <v>1397574</v>
      </c>
      <c r="G80" s="21">
        <v>0</v>
      </c>
      <c r="H80" s="21">
        <f t="shared" si="20"/>
        <v>1.4578096661934908E-3</v>
      </c>
      <c r="I80" s="21">
        <f t="shared" si="21"/>
        <v>1.4578096661934908E-3</v>
      </c>
      <c r="J80" s="21"/>
      <c r="K80" s="32">
        <v>543028</v>
      </c>
      <c r="L80" s="82">
        <v>70900</v>
      </c>
      <c r="M80" s="32">
        <v>89920</v>
      </c>
      <c r="N80" s="32">
        <v>703848</v>
      </c>
      <c r="O80" s="23">
        <v>0</v>
      </c>
      <c r="P80" s="23">
        <v>1.4500418475829149E-3</v>
      </c>
      <c r="Q80" s="23">
        <v>1.4500418475829149E-3</v>
      </c>
    </row>
    <row r="81" spans="1:17" x14ac:dyDescent="0.35">
      <c r="A81" s="25" t="str">
        <f>'Allocation schedule Non'!C42</f>
        <v>Estill County Schools</v>
      </c>
      <c r="B81" s="7">
        <f>'2017 Prop share of contribs'!BT38</f>
        <v>1183773</v>
      </c>
      <c r="C81" s="7">
        <f t="shared" ref="C81:C112" si="22">ROUND(B81/$B$230*$D$245,0)</f>
        <v>154911</v>
      </c>
      <c r="D81" s="7">
        <f t="shared" si="18"/>
        <v>1655145</v>
      </c>
      <c r="E81" s="7"/>
      <c r="F81" s="7">
        <f t="shared" ref="F81:F112" si="23">B81+C81+D81</f>
        <v>2993829</v>
      </c>
      <c r="G81" s="21">
        <v>0</v>
      </c>
      <c r="H81" s="21">
        <f t="shared" ref="H81:H112" si="24">F81/($B$234+$D$234+$C$234)</f>
        <v>3.1228635157282492E-3</v>
      </c>
      <c r="I81" s="21">
        <f t="shared" si="21"/>
        <v>3.1228635157282492E-3</v>
      </c>
      <c r="J81" s="21"/>
      <c r="K81" s="32">
        <v>1187603</v>
      </c>
      <c r="L81" s="82">
        <v>155059</v>
      </c>
      <c r="M81" s="32">
        <v>196656</v>
      </c>
      <c r="N81" s="32">
        <v>1539318</v>
      </c>
      <c r="O81" s="23">
        <v>0</v>
      </c>
      <c r="P81" s="23">
        <v>3.1712465144997748E-3</v>
      </c>
      <c r="Q81" s="23">
        <v>3.1712465144997748E-3</v>
      </c>
    </row>
    <row r="82" spans="1:17" x14ac:dyDescent="0.35">
      <c r="A82" s="25" t="str">
        <f>'Allocation schedule Non'!C43</f>
        <v>Fayette County Schools</v>
      </c>
      <c r="B82" s="7">
        <f>'2017 Prop share of contribs'!BT39</f>
        <v>27863418</v>
      </c>
      <c r="C82" s="7">
        <f t="shared" si="22"/>
        <v>3646266</v>
      </c>
      <c r="D82" s="7">
        <f t="shared" si="18"/>
        <v>38958492</v>
      </c>
      <c r="E82" s="7"/>
      <c r="F82" s="7">
        <f t="shared" si="23"/>
        <v>70468176</v>
      </c>
      <c r="G82" s="21">
        <v>0</v>
      </c>
      <c r="H82" s="21">
        <f t="shared" si="24"/>
        <v>7.3505365820932672E-2</v>
      </c>
      <c r="I82" s="21">
        <f t="shared" si="21"/>
        <v>7.3505365820932672E-2</v>
      </c>
      <c r="J82" s="21"/>
      <c r="K82" s="32">
        <v>26952110</v>
      </c>
      <c r="L82" s="82">
        <v>3518986</v>
      </c>
      <c r="M82" s="32">
        <v>4463010</v>
      </c>
      <c r="N82" s="32">
        <v>34934106</v>
      </c>
      <c r="O82" s="23">
        <v>0</v>
      </c>
      <c r="P82" s="23">
        <v>7.1969964549018245E-2</v>
      </c>
      <c r="Q82" s="23">
        <v>7.1969964549018245E-2</v>
      </c>
    </row>
    <row r="83" spans="1:17" x14ac:dyDescent="0.35">
      <c r="A83" s="25" t="str">
        <f>'Allocation schedule Non'!C44</f>
        <v>Fleming County Schools</v>
      </c>
      <c r="B83" s="7">
        <f>'2017 Prop share of contribs'!BT40</f>
        <v>1087561</v>
      </c>
      <c r="C83" s="7">
        <f t="shared" si="22"/>
        <v>142321</v>
      </c>
      <c r="D83" s="7">
        <f t="shared" si="18"/>
        <v>1520622</v>
      </c>
      <c r="E83" s="7"/>
      <c r="F83" s="7">
        <f t="shared" si="23"/>
        <v>2750504</v>
      </c>
      <c r="G83" s="21">
        <v>0</v>
      </c>
      <c r="H83" s="21">
        <f t="shared" si="24"/>
        <v>2.8690511687423071E-3</v>
      </c>
      <c r="I83" s="21">
        <f t="shared" si="21"/>
        <v>2.8690511687423071E-3</v>
      </c>
      <c r="J83" s="21"/>
      <c r="K83" s="32">
        <v>1028804</v>
      </c>
      <c r="L83" s="82">
        <v>134325</v>
      </c>
      <c r="M83" s="32">
        <v>170360</v>
      </c>
      <c r="N83" s="32">
        <v>1333489</v>
      </c>
      <c r="O83" s="23">
        <v>0</v>
      </c>
      <c r="P83" s="23">
        <v>2.747205154083685E-3</v>
      </c>
      <c r="Q83" s="23">
        <v>2.747205154083685E-3</v>
      </c>
    </row>
    <row r="84" spans="1:17" x14ac:dyDescent="0.35">
      <c r="A84" s="25" t="str">
        <f>'Allocation schedule Non'!C45</f>
        <v>Floyd County Schools</v>
      </c>
      <c r="B84" s="7">
        <f>'2017 Prop share of contribs'!BT41</f>
        <v>2865148</v>
      </c>
      <c r="C84" s="7">
        <f t="shared" si="22"/>
        <v>374939</v>
      </c>
      <c r="D84" s="7">
        <f t="shared" si="18"/>
        <v>4006036</v>
      </c>
      <c r="E84" s="7"/>
      <c r="F84" s="7">
        <f t="shared" si="23"/>
        <v>7246123</v>
      </c>
      <c r="G84" s="21">
        <v>0</v>
      </c>
      <c r="H84" s="21">
        <f t="shared" si="24"/>
        <v>7.5584320771758598E-3</v>
      </c>
      <c r="I84" s="21">
        <f t="shared" si="21"/>
        <v>7.5584320771758598E-3</v>
      </c>
      <c r="J84" s="21"/>
      <c r="K84" s="32">
        <v>2898792</v>
      </c>
      <c r="L84" s="82">
        <v>378479</v>
      </c>
      <c r="M84" s="32">
        <v>480012</v>
      </c>
      <c r="N84" s="32">
        <v>3757283</v>
      </c>
      <c r="O84" s="23">
        <v>0</v>
      </c>
      <c r="P84" s="23">
        <v>7.7406167002135083E-3</v>
      </c>
      <c r="Q84" s="23">
        <v>7.7406167002135083E-3</v>
      </c>
    </row>
    <row r="85" spans="1:17" x14ac:dyDescent="0.35">
      <c r="A85" s="25" t="str">
        <f>'Allocation schedule Non'!C46</f>
        <v>Franklin County Schools</v>
      </c>
      <c r="B85" s="7">
        <f>'2017 Prop share of contribs'!BT42</f>
        <v>3155870</v>
      </c>
      <c r="C85" s="7">
        <f t="shared" si="22"/>
        <v>412984</v>
      </c>
      <c r="D85" s="7">
        <f t="shared" si="18"/>
        <v>4412522</v>
      </c>
      <c r="E85" s="7"/>
      <c r="F85" s="7">
        <f t="shared" si="23"/>
        <v>7981376</v>
      </c>
      <c r="G85" s="21">
        <v>0</v>
      </c>
      <c r="H85" s="21">
        <f t="shared" si="24"/>
        <v>8.3253746007901815E-3</v>
      </c>
      <c r="I85" s="21">
        <f t="shared" si="21"/>
        <v>8.3253746007901815E-3</v>
      </c>
      <c r="J85" s="21"/>
      <c r="K85" s="32">
        <v>3104991</v>
      </c>
      <c r="L85" s="82">
        <v>405401</v>
      </c>
      <c r="M85" s="32">
        <v>514157</v>
      </c>
      <c r="N85" s="32">
        <v>4024549</v>
      </c>
      <c r="O85" s="23">
        <v>0</v>
      </c>
      <c r="P85" s="23">
        <v>8.2912283158408807E-3</v>
      </c>
      <c r="Q85" s="23">
        <v>8.2912283158408807E-3</v>
      </c>
    </row>
    <row r="86" spans="1:17" x14ac:dyDescent="0.35">
      <c r="A86" s="25" t="str">
        <f>'Allocation schedule Non'!C47</f>
        <v>Fulton County Schools</v>
      </c>
      <c r="B86" s="7">
        <f>'2017 Prop share of contribs'!BT43</f>
        <v>317629</v>
      </c>
      <c r="C86" s="7">
        <f t="shared" si="22"/>
        <v>41566</v>
      </c>
      <c r="D86" s="7">
        <f t="shared" si="18"/>
        <v>444107</v>
      </c>
      <c r="E86" s="7"/>
      <c r="F86" s="7">
        <f t="shared" si="23"/>
        <v>803302</v>
      </c>
      <c r="G86" s="21">
        <v>0</v>
      </c>
      <c r="H86" s="21">
        <f t="shared" si="24"/>
        <v>8.3792444655707927E-4</v>
      </c>
      <c r="I86" s="21">
        <f t="shared" si="21"/>
        <v>8.3792444655707927E-4</v>
      </c>
      <c r="J86" s="21"/>
      <c r="K86" s="32">
        <v>297154</v>
      </c>
      <c r="L86" s="82">
        <v>38798</v>
      </c>
      <c r="M86" s="32">
        <v>49206</v>
      </c>
      <c r="N86" s="32">
        <v>385158</v>
      </c>
      <c r="O86" s="23">
        <v>0</v>
      </c>
      <c r="P86" s="23">
        <v>7.9348839228262399E-4</v>
      </c>
      <c r="Q86" s="23">
        <v>7.9348839228262399E-4</v>
      </c>
    </row>
    <row r="87" spans="1:17" x14ac:dyDescent="0.35">
      <c r="A87" s="25" t="str">
        <f>'Allocation schedule Non'!C48</f>
        <v>Gallatin County Schools</v>
      </c>
      <c r="B87" s="7">
        <f>'2017 Prop share of contribs'!BT44</f>
        <v>847155</v>
      </c>
      <c r="C87" s="7">
        <f t="shared" si="22"/>
        <v>110860</v>
      </c>
      <c r="D87" s="7">
        <f t="shared" si="18"/>
        <v>1184488</v>
      </c>
      <c r="E87" s="7"/>
      <c r="F87" s="7">
        <f t="shared" si="23"/>
        <v>2142503</v>
      </c>
      <c r="G87" s="21">
        <v>0</v>
      </c>
      <c r="H87" s="21">
        <f t="shared" si="24"/>
        <v>2.2348452269780007E-3</v>
      </c>
      <c r="I87" s="21">
        <f t="shared" si="21"/>
        <v>2.2348452269780007E-3</v>
      </c>
      <c r="J87" s="21"/>
      <c r="K87" s="32">
        <v>847080</v>
      </c>
      <c r="L87" s="82">
        <v>110598</v>
      </c>
      <c r="M87" s="32">
        <v>140268</v>
      </c>
      <c r="N87" s="32">
        <v>1097946</v>
      </c>
      <c r="O87" s="23">
        <v>0</v>
      </c>
      <c r="P87" s="23">
        <v>2.2619481001384832E-3</v>
      </c>
      <c r="Q87" s="23">
        <v>2.2619481001384832E-3</v>
      </c>
    </row>
    <row r="88" spans="1:17" x14ac:dyDescent="0.35">
      <c r="A88" s="25" t="str">
        <f>'Allocation schedule Non'!C49</f>
        <v>Garrard County Schools</v>
      </c>
      <c r="B88" s="7">
        <f>'2017 Prop share of contribs'!BT45</f>
        <v>1222579</v>
      </c>
      <c r="C88" s="7">
        <f t="shared" si="22"/>
        <v>159989</v>
      </c>
      <c r="D88" s="7">
        <f t="shared" si="18"/>
        <v>1709404</v>
      </c>
      <c r="E88" s="7"/>
      <c r="F88" s="7">
        <f t="shared" si="23"/>
        <v>3091972</v>
      </c>
      <c r="G88" s="21">
        <v>0</v>
      </c>
      <c r="H88" s="21">
        <f t="shared" si="24"/>
        <v>3.2252364949545568E-3</v>
      </c>
      <c r="I88" s="21">
        <f t="shared" si="21"/>
        <v>3.2252364949545568E-3</v>
      </c>
      <c r="J88" s="21"/>
      <c r="K88" s="32">
        <v>1306030</v>
      </c>
      <c r="L88" s="82">
        <v>170521</v>
      </c>
      <c r="M88" s="32">
        <v>216266</v>
      </c>
      <c r="N88" s="32">
        <v>1692817</v>
      </c>
      <c r="O88" s="23">
        <v>0</v>
      </c>
      <c r="P88" s="23">
        <v>3.4874795272555542E-3</v>
      </c>
      <c r="Q88" s="23">
        <v>3.4874795272555542E-3</v>
      </c>
    </row>
    <row r="89" spans="1:17" x14ac:dyDescent="0.35">
      <c r="A89" s="25" t="str">
        <f>'Allocation schedule Non'!C50</f>
        <v>Grant County Schools</v>
      </c>
      <c r="B89" s="7">
        <f>'2017 Prop share of contribs'!BT46</f>
        <v>1811025</v>
      </c>
      <c r="C89" s="7">
        <f t="shared" si="22"/>
        <v>236995</v>
      </c>
      <c r="D89" s="7">
        <f t="shared" si="18"/>
        <v>2532166</v>
      </c>
      <c r="E89" s="7"/>
      <c r="F89" s="7">
        <f t="shared" si="23"/>
        <v>4580186</v>
      </c>
      <c r="G89" s="21">
        <v>0</v>
      </c>
      <c r="H89" s="21">
        <f t="shared" si="24"/>
        <v>4.7775927598567944E-3</v>
      </c>
      <c r="I89" s="21">
        <f t="shared" si="21"/>
        <v>4.7775927598567944E-3</v>
      </c>
      <c r="J89" s="21"/>
      <c r="K89" s="32">
        <v>1785469</v>
      </c>
      <c r="L89" s="82">
        <v>233119</v>
      </c>
      <c r="M89" s="32">
        <v>295656</v>
      </c>
      <c r="N89" s="32">
        <v>2314244</v>
      </c>
      <c r="O89" s="23">
        <v>0</v>
      </c>
      <c r="P89" s="23">
        <v>4.7677206520693035E-3</v>
      </c>
      <c r="Q89" s="23">
        <v>4.7677206520693035E-3</v>
      </c>
    </row>
    <row r="90" spans="1:17" x14ac:dyDescent="0.35">
      <c r="A90" s="25" t="str">
        <f>'Allocation schedule Non'!C51</f>
        <v>Graves County Schools</v>
      </c>
      <c r="B90" s="7">
        <f>'2017 Prop share of contribs'!BT47</f>
        <v>2170669</v>
      </c>
      <c r="C90" s="7">
        <f t="shared" si="22"/>
        <v>284058</v>
      </c>
      <c r="D90" s="7">
        <f t="shared" si="18"/>
        <v>3035019</v>
      </c>
      <c r="E90" s="7"/>
      <c r="F90" s="7">
        <f t="shared" si="23"/>
        <v>5489746</v>
      </c>
      <c r="G90" s="21">
        <v>0</v>
      </c>
      <c r="H90" s="21">
        <f t="shared" si="24"/>
        <v>5.7263549434570559E-3</v>
      </c>
      <c r="I90" s="21">
        <f t="shared" si="21"/>
        <v>5.7263549434570559E-3</v>
      </c>
      <c r="J90" s="21"/>
      <c r="K90" s="32">
        <v>2108990</v>
      </c>
      <c r="L90" s="82">
        <v>275359</v>
      </c>
      <c r="M90" s="32">
        <v>349228</v>
      </c>
      <c r="N90" s="32">
        <v>2733577</v>
      </c>
      <c r="O90" s="23">
        <v>0</v>
      </c>
      <c r="P90" s="23">
        <v>5.6316151265474387E-3</v>
      </c>
      <c r="Q90" s="23">
        <v>5.6316151265474387E-3</v>
      </c>
    </row>
    <row r="91" spans="1:17" x14ac:dyDescent="0.35">
      <c r="A91" s="25" t="str">
        <f>'Allocation schedule Non'!C52</f>
        <v>Grayson County Schools</v>
      </c>
      <c r="B91" s="7">
        <f>'2017 Prop share of contribs'!BT48</f>
        <v>2012771</v>
      </c>
      <c r="C91" s="7">
        <f t="shared" si="22"/>
        <v>263395</v>
      </c>
      <c r="D91" s="7">
        <f t="shared" si="18"/>
        <v>2814246</v>
      </c>
      <c r="E91" s="7"/>
      <c r="F91" s="7">
        <f t="shared" si="23"/>
        <v>5090412</v>
      </c>
      <c r="G91" s="21">
        <v>0</v>
      </c>
      <c r="H91" s="21">
        <f t="shared" si="24"/>
        <v>5.3098095832545102E-3</v>
      </c>
      <c r="I91" s="21">
        <f t="shared" si="21"/>
        <v>5.3098095832545102E-3</v>
      </c>
      <c r="J91" s="21"/>
      <c r="K91" s="32">
        <v>1991854</v>
      </c>
      <c r="L91" s="82">
        <v>260065</v>
      </c>
      <c r="M91" s="32">
        <v>329832</v>
      </c>
      <c r="N91" s="32">
        <v>2581751</v>
      </c>
      <c r="O91" s="23">
        <v>0</v>
      </c>
      <c r="P91" s="23">
        <v>5.3188287670619767E-3</v>
      </c>
      <c r="Q91" s="23">
        <v>5.3188287670619767E-3</v>
      </c>
    </row>
    <row r="92" spans="1:17" x14ac:dyDescent="0.35">
      <c r="A92" s="25" t="str">
        <f>'Allocation schedule Non'!C53</f>
        <v>Green County Schools</v>
      </c>
      <c r="B92" s="7">
        <f>'2017 Prop share of contribs'!BT49</f>
        <v>837266</v>
      </c>
      <c r="C92" s="7">
        <f t="shared" si="22"/>
        <v>109566</v>
      </c>
      <c r="D92" s="7">
        <f t="shared" si="18"/>
        <v>1170661</v>
      </c>
      <c r="E92" s="7"/>
      <c r="F92" s="7">
        <f t="shared" si="23"/>
        <v>2117493</v>
      </c>
      <c r="G92" s="21">
        <v>0</v>
      </c>
      <c r="H92" s="21">
        <f t="shared" si="24"/>
        <v>2.2087572919194643E-3</v>
      </c>
      <c r="I92" s="21">
        <f t="shared" si="21"/>
        <v>2.2087572919194643E-3</v>
      </c>
      <c r="J92" s="21"/>
      <c r="K92" s="32">
        <v>828858</v>
      </c>
      <c r="L92" s="82">
        <v>108219</v>
      </c>
      <c r="M92" s="32">
        <v>137251</v>
      </c>
      <c r="N92" s="32">
        <v>1074328</v>
      </c>
      <c r="O92" s="23">
        <v>0</v>
      </c>
      <c r="P92" s="23">
        <v>2.2132911623391101E-3</v>
      </c>
      <c r="Q92" s="23">
        <v>2.2132911623391101E-3</v>
      </c>
    </row>
    <row r="93" spans="1:17" x14ac:dyDescent="0.35">
      <c r="A93" s="25" t="str">
        <f>'Allocation schedule Non'!C54</f>
        <v>Greenup County Schools</v>
      </c>
      <c r="B93" s="7">
        <f>'2017 Prop share of contribs'!BT50</f>
        <v>1437574</v>
      </c>
      <c r="C93" s="7">
        <f t="shared" si="22"/>
        <v>188124</v>
      </c>
      <c r="D93" s="7">
        <f t="shared" si="18"/>
        <v>2010009</v>
      </c>
      <c r="E93" s="7"/>
      <c r="F93" s="7">
        <f t="shared" si="23"/>
        <v>3635707</v>
      </c>
      <c r="G93" s="21">
        <v>0</v>
      </c>
      <c r="H93" s="21">
        <f t="shared" si="24"/>
        <v>3.7924065616899982E-3</v>
      </c>
      <c r="I93" s="21">
        <f t="shared" si="21"/>
        <v>3.7924065616899982E-3</v>
      </c>
      <c r="J93" s="21"/>
      <c r="K93" s="32">
        <v>1395457</v>
      </c>
      <c r="L93" s="82">
        <v>182197</v>
      </c>
      <c r="M93" s="32">
        <v>231074</v>
      </c>
      <c r="N93" s="32">
        <v>1808728</v>
      </c>
      <c r="O93" s="23">
        <v>0</v>
      </c>
      <c r="P93" s="23">
        <v>3.7262751203313081E-3</v>
      </c>
      <c r="Q93" s="23">
        <v>3.7262751203313081E-3</v>
      </c>
    </row>
    <row r="94" spans="1:17" x14ac:dyDescent="0.35">
      <c r="A94" s="25" t="str">
        <f>'Allocation schedule Non'!C55</f>
        <v>Hancock County Schools</v>
      </c>
      <c r="B94" s="7">
        <f>'2017 Prop share of contribs'!BT51</f>
        <v>931043</v>
      </c>
      <c r="C94" s="7">
        <f t="shared" si="22"/>
        <v>121838</v>
      </c>
      <c r="D94" s="7">
        <f t="shared" si="18"/>
        <v>1301780</v>
      </c>
      <c r="E94" s="7"/>
      <c r="F94" s="7">
        <f t="shared" si="23"/>
        <v>2354661</v>
      </c>
      <c r="G94" s="21">
        <v>0</v>
      </c>
      <c r="H94" s="21">
        <f t="shared" si="24"/>
        <v>2.4561472712062698E-3</v>
      </c>
      <c r="I94" s="21">
        <f t="shared" si="21"/>
        <v>2.4561472712062698E-3</v>
      </c>
      <c r="J94" s="21"/>
      <c r="K94" s="32">
        <v>915023</v>
      </c>
      <c r="L94" s="82">
        <v>119469</v>
      </c>
      <c r="M94" s="32">
        <v>151519</v>
      </c>
      <c r="N94" s="32">
        <v>1186011</v>
      </c>
      <c r="O94" s="23">
        <v>0</v>
      </c>
      <c r="P94" s="23">
        <v>2.4433763848070327E-3</v>
      </c>
      <c r="Q94" s="23">
        <v>2.4433763848070327E-3</v>
      </c>
    </row>
    <row r="95" spans="1:17" x14ac:dyDescent="0.35">
      <c r="A95" s="25" t="str">
        <f>'Allocation schedule Non'!C56</f>
        <v>Hardin County Schools</v>
      </c>
      <c r="B95" s="7">
        <f>'2017 Prop share of contribs'!BT52</f>
        <v>7603887</v>
      </c>
      <c r="C95" s="7">
        <f t="shared" si="22"/>
        <v>995061</v>
      </c>
      <c r="D95" s="7">
        <f t="shared" si="18"/>
        <v>10631717</v>
      </c>
      <c r="E95" s="7"/>
      <c r="F95" s="7">
        <f t="shared" si="23"/>
        <v>19230665</v>
      </c>
      <c r="G95" s="21">
        <v>0</v>
      </c>
      <c r="H95" s="21">
        <f t="shared" si="24"/>
        <v>2.005950978218602E-2</v>
      </c>
      <c r="I95" s="21">
        <f t="shared" si="21"/>
        <v>2.005950978218602E-2</v>
      </c>
      <c r="J95" s="21"/>
      <c r="K95" s="32">
        <v>7499944</v>
      </c>
      <c r="L95" s="82">
        <v>979226</v>
      </c>
      <c r="M95" s="32">
        <v>1241918</v>
      </c>
      <c r="N95" s="32">
        <v>9721088</v>
      </c>
      <c r="O95" s="23">
        <v>0</v>
      </c>
      <c r="P95" s="23">
        <v>2.002702913702405E-2</v>
      </c>
      <c r="Q95" s="23">
        <v>2.002702913702405E-2</v>
      </c>
    </row>
    <row r="96" spans="1:17" x14ac:dyDescent="0.35">
      <c r="A96" s="25" t="str">
        <f>'Allocation schedule Non'!C57</f>
        <v>Harlan County Schools</v>
      </c>
      <c r="B96" s="7">
        <f>'2017 Prop share of contribs'!BT53</f>
        <v>1735478</v>
      </c>
      <c r="C96" s="7">
        <f t="shared" si="22"/>
        <v>227108</v>
      </c>
      <c r="D96" s="7">
        <f t="shared" si="18"/>
        <v>2426537</v>
      </c>
      <c r="E96" s="7"/>
      <c r="F96" s="7">
        <f t="shared" si="23"/>
        <v>4389123</v>
      </c>
      <c r="G96" s="21">
        <v>0</v>
      </c>
      <c r="H96" s="21">
        <f t="shared" si="24"/>
        <v>4.5782949135517491E-3</v>
      </c>
      <c r="I96" s="21">
        <f t="shared" si="21"/>
        <v>4.5782949135517491E-3</v>
      </c>
      <c r="J96" s="21"/>
      <c r="K96" s="32">
        <v>1700876</v>
      </c>
      <c r="L96" s="82">
        <v>222074</v>
      </c>
      <c r="M96" s="32">
        <v>281649</v>
      </c>
      <c r="N96" s="32">
        <v>2204599</v>
      </c>
      <c r="O96" s="23">
        <v>0</v>
      </c>
      <c r="P96" s="23">
        <v>4.5418340424913427E-3</v>
      </c>
      <c r="Q96" s="23">
        <v>4.5418340424913427E-3</v>
      </c>
    </row>
    <row r="97" spans="1:17" x14ac:dyDescent="0.35">
      <c r="A97" s="25" t="str">
        <f>'Allocation schedule Non'!C58</f>
        <v>Harrison County Schools</v>
      </c>
      <c r="B97" s="7">
        <f>'2017 Prop share of contribs'!BT54</f>
        <v>1396851</v>
      </c>
      <c r="C97" s="7">
        <f t="shared" si="22"/>
        <v>182795</v>
      </c>
      <c r="D97" s="7">
        <f t="shared" si="18"/>
        <v>1953070</v>
      </c>
      <c r="E97" s="7"/>
      <c r="F97" s="7">
        <f t="shared" si="23"/>
        <v>3532716</v>
      </c>
      <c r="G97" s="21">
        <v>0</v>
      </c>
      <c r="H97" s="21">
        <f t="shared" si="24"/>
        <v>3.6849766328769739E-3</v>
      </c>
      <c r="I97" s="21">
        <f t="shared" si="21"/>
        <v>3.6849766328769739E-3</v>
      </c>
      <c r="J97" s="21"/>
      <c r="K97" s="32">
        <v>1379164</v>
      </c>
      <c r="L97" s="82">
        <v>180070</v>
      </c>
      <c r="M97" s="32">
        <v>228376</v>
      </c>
      <c r="N97" s="32">
        <v>1787610</v>
      </c>
      <c r="O97" s="23">
        <v>0</v>
      </c>
      <c r="P97" s="23">
        <v>3.6827685908856662E-3</v>
      </c>
      <c r="Q97" s="23">
        <v>3.6827685908856662E-3</v>
      </c>
    </row>
    <row r="98" spans="1:17" x14ac:dyDescent="0.35">
      <c r="A98" s="25" t="str">
        <f>'Allocation schedule Non'!C59</f>
        <v>Hart County Schools</v>
      </c>
      <c r="B98" s="7">
        <f>'2017 Prop share of contribs'!BT55</f>
        <v>1350935</v>
      </c>
      <c r="C98" s="7">
        <f t="shared" si="22"/>
        <v>176786</v>
      </c>
      <c r="D98" s="7">
        <f t="shared" si="18"/>
        <v>1888871</v>
      </c>
      <c r="E98" s="7"/>
      <c r="F98" s="7">
        <f t="shared" si="23"/>
        <v>3416592</v>
      </c>
      <c r="G98" s="21">
        <v>0</v>
      </c>
      <c r="H98" s="21">
        <f t="shared" si="24"/>
        <v>3.5638476696327713E-3</v>
      </c>
      <c r="I98" s="21">
        <f t="shared" si="21"/>
        <v>3.5638476696327713E-3</v>
      </c>
      <c r="J98" s="21"/>
      <c r="K98" s="32">
        <v>1328018</v>
      </c>
      <c r="L98" s="82">
        <v>173392</v>
      </c>
      <c r="M98" s="32">
        <v>219907</v>
      </c>
      <c r="N98" s="32">
        <v>1721317</v>
      </c>
      <c r="O98" s="23">
        <v>0</v>
      </c>
      <c r="P98" s="23">
        <v>3.5461941824880944E-3</v>
      </c>
      <c r="Q98" s="23">
        <v>3.5461941824880944E-3</v>
      </c>
    </row>
    <row r="99" spans="1:17" x14ac:dyDescent="0.35">
      <c r="A99" s="25" t="str">
        <f>'Allocation schedule Non'!C60</f>
        <v>Henderson County Schools</v>
      </c>
      <c r="B99" s="7">
        <f>'2017 Prop share of contribs'!BT56</f>
        <v>3621935</v>
      </c>
      <c r="C99" s="7">
        <f t="shared" si="22"/>
        <v>473974</v>
      </c>
      <c r="D99" s="7">
        <f t="shared" si="18"/>
        <v>5064171</v>
      </c>
      <c r="E99" s="7"/>
      <c r="F99" s="7">
        <f t="shared" si="23"/>
        <v>9160080</v>
      </c>
      <c r="G99" s="21">
        <v>0</v>
      </c>
      <c r="H99" s="21">
        <f t="shared" si="24"/>
        <v>9.554880934466204E-3</v>
      </c>
      <c r="I99" s="21">
        <f t="shared" si="21"/>
        <v>9.554880934466204E-3</v>
      </c>
      <c r="J99" s="21"/>
      <c r="K99" s="32">
        <v>3831430</v>
      </c>
      <c r="L99" s="82">
        <v>500248</v>
      </c>
      <c r="M99" s="32">
        <v>634448</v>
      </c>
      <c r="N99" s="32">
        <v>4966126</v>
      </c>
      <c r="O99" s="23">
        <v>0</v>
      </c>
      <c r="P99" s="23">
        <v>1.02310307344335E-2</v>
      </c>
      <c r="Q99" s="23">
        <v>1.02310307344335E-2</v>
      </c>
    </row>
    <row r="100" spans="1:17" x14ac:dyDescent="0.35">
      <c r="A100" s="25" t="str">
        <f>'Allocation schedule Non'!C61</f>
        <v>Henry County Schools</v>
      </c>
      <c r="B100" s="7">
        <f>'2017 Prop share of contribs'!BT57</f>
        <v>1106048</v>
      </c>
      <c r="C100" s="7">
        <f t="shared" si="22"/>
        <v>144740</v>
      </c>
      <c r="D100" s="7">
        <f t="shared" si="18"/>
        <v>1546471</v>
      </c>
      <c r="E100" s="7"/>
      <c r="F100" s="7">
        <f t="shared" si="23"/>
        <v>2797259</v>
      </c>
      <c r="G100" s="21">
        <v>0</v>
      </c>
      <c r="H100" s="21">
        <f t="shared" si="24"/>
        <v>2.9178213168295471E-3</v>
      </c>
      <c r="I100" s="21">
        <f t="shared" si="21"/>
        <v>2.9178213168295471E-3</v>
      </c>
      <c r="J100" s="21"/>
      <c r="K100" s="32">
        <v>1083259</v>
      </c>
      <c r="L100" s="82">
        <v>141435</v>
      </c>
      <c r="M100" s="32">
        <v>179377</v>
      </c>
      <c r="N100" s="32">
        <v>1404071</v>
      </c>
      <c r="O100" s="23">
        <v>0</v>
      </c>
      <c r="P100" s="23">
        <v>2.8926156030529191E-3</v>
      </c>
      <c r="Q100" s="23">
        <v>2.8926156030529191E-3</v>
      </c>
    </row>
    <row r="101" spans="1:17" x14ac:dyDescent="0.35">
      <c r="A101" s="25" t="str">
        <f>'Allocation schedule Non'!C62</f>
        <v>Hickman County Schools</v>
      </c>
      <c r="B101" s="7">
        <f>'2017 Prop share of contribs'!BT58</f>
        <v>452786</v>
      </c>
      <c r="C101" s="7">
        <f t="shared" si="22"/>
        <v>59253</v>
      </c>
      <c r="D101" s="7">
        <f t="shared" si="18"/>
        <v>633083</v>
      </c>
      <c r="E101" s="7"/>
      <c r="F101" s="7">
        <f t="shared" si="23"/>
        <v>1145122</v>
      </c>
      <c r="G101" s="21">
        <v>0</v>
      </c>
      <c r="H101" s="21">
        <f t="shared" si="24"/>
        <v>1.1944769440264504E-3</v>
      </c>
      <c r="I101" s="21">
        <f t="shared" si="21"/>
        <v>1.1944769440264504E-3</v>
      </c>
      <c r="J101" s="21"/>
      <c r="K101" s="32">
        <v>444786</v>
      </c>
      <c r="L101" s="82">
        <v>58073</v>
      </c>
      <c r="M101" s="32">
        <v>73652</v>
      </c>
      <c r="N101" s="32">
        <v>576511</v>
      </c>
      <c r="O101" s="23">
        <v>0</v>
      </c>
      <c r="P101" s="23">
        <v>1.1877068281672661E-3</v>
      </c>
      <c r="Q101" s="23">
        <v>1.1877068281672661E-3</v>
      </c>
    </row>
    <row r="102" spans="1:17" x14ac:dyDescent="0.35">
      <c r="A102" s="25" t="str">
        <f>'Allocation schedule Non'!C63</f>
        <v>Hopkins County Schools</v>
      </c>
      <c r="B102" s="7">
        <f>'2017 Prop share of contribs'!BT59</f>
        <v>3522155</v>
      </c>
      <c r="C102" s="7">
        <f t="shared" si="22"/>
        <v>460917</v>
      </c>
      <c r="D102" s="7">
        <f t="shared" si="18"/>
        <v>4924660</v>
      </c>
      <c r="E102" s="7"/>
      <c r="F102" s="7">
        <f t="shared" si="23"/>
        <v>8907732</v>
      </c>
      <c r="G102" s="21">
        <v>0</v>
      </c>
      <c r="H102" s="21">
        <f t="shared" si="24"/>
        <v>9.2916566947160405E-3</v>
      </c>
      <c r="I102" s="21">
        <f t="shared" si="21"/>
        <v>9.2916566947160405E-3</v>
      </c>
      <c r="J102" s="21"/>
      <c r="K102" s="32">
        <v>3552943</v>
      </c>
      <c r="L102" s="82">
        <v>463888</v>
      </c>
      <c r="M102" s="32">
        <v>588333</v>
      </c>
      <c r="N102" s="32">
        <v>4605164</v>
      </c>
      <c r="O102" s="23">
        <v>0</v>
      </c>
      <c r="P102" s="23">
        <v>9.4873900543616333E-3</v>
      </c>
      <c r="Q102" s="23">
        <v>9.4873900543616333E-3</v>
      </c>
    </row>
    <row r="103" spans="1:17" x14ac:dyDescent="0.35">
      <c r="A103" s="25" t="str">
        <f>'Allocation schedule Non'!C64</f>
        <v>Jackson County Schools</v>
      </c>
      <c r="B103" s="7">
        <f>'2017 Prop share of contribs'!BT60</f>
        <v>1158726</v>
      </c>
      <c r="C103" s="7">
        <f t="shared" si="22"/>
        <v>151633</v>
      </c>
      <c r="D103" s="7">
        <f t="shared" si="18"/>
        <v>1620125</v>
      </c>
      <c r="E103" s="7"/>
      <c r="F103" s="7">
        <f t="shared" si="23"/>
        <v>2930484</v>
      </c>
      <c r="G103" s="21">
        <v>0</v>
      </c>
      <c r="H103" s="21">
        <f t="shared" si="24"/>
        <v>3.0567883359488407E-3</v>
      </c>
      <c r="I103" s="21">
        <f t="shared" si="21"/>
        <v>3.0567883359488407E-3</v>
      </c>
      <c r="J103" s="21"/>
      <c r="K103" s="32">
        <v>1118991</v>
      </c>
      <c r="L103" s="82">
        <v>146100</v>
      </c>
      <c r="M103" s="32">
        <v>185294</v>
      </c>
      <c r="N103" s="32">
        <v>1450385</v>
      </c>
      <c r="O103" s="23">
        <v>0</v>
      </c>
      <c r="P103" s="23">
        <v>2.9880300080508092E-3</v>
      </c>
      <c r="Q103" s="23">
        <v>2.9880300080508092E-3</v>
      </c>
    </row>
    <row r="104" spans="1:17" x14ac:dyDescent="0.35">
      <c r="A104" s="25" t="str">
        <f>'Allocation schedule Non'!C65</f>
        <v>Jefferson County Schools</v>
      </c>
      <c r="B104" s="7">
        <f>'2017 Prop share of contribs'!BT61</f>
        <v>70473071</v>
      </c>
      <c r="C104" s="89">
        <f>ROUND(B104/$B$230*$D$245,0)+5</f>
        <v>9222259</v>
      </c>
      <c r="D104" s="7">
        <f>ROUND(B104/$B$234*(($D$244+$D$240)*0.95261),0)+3</f>
        <v>98535099</v>
      </c>
      <c r="E104" s="89"/>
      <c r="F104" s="7">
        <f t="shared" si="23"/>
        <v>178230429</v>
      </c>
      <c r="G104" s="21">
        <v>0</v>
      </c>
      <c r="H104" s="21">
        <f t="shared" si="24"/>
        <v>0.18591218941251958</v>
      </c>
      <c r="I104" s="21">
        <f t="shared" si="21"/>
        <v>0.18591218941251958</v>
      </c>
      <c r="J104" s="21"/>
      <c r="K104" s="32">
        <v>68839486</v>
      </c>
      <c r="L104" s="82">
        <v>8987982</v>
      </c>
      <c r="M104" s="32">
        <v>11399151</v>
      </c>
      <c r="N104" s="32">
        <v>89226619</v>
      </c>
      <c r="O104" s="23">
        <v>0</v>
      </c>
      <c r="P104" s="23">
        <v>0.18382140954913109</v>
      </c>
      <c r="Q104" s="23">
        <v>0.18382140954913109</v>
      </c>
    </row>
    <row r="105" spans="1:17" x14ac:dyDescent="0.35">
      <c r="A105" s="25" t="str">
        <f>'Allocation schedule Non'!C66</f>
        <v>Jessamine County Schools</v>
      </c>
      <c r="B105" s="7">
        <f>'2017 Prop share of contribs'!BT62</f>
        <v>4149740</v>
      </c>
      <c r="C105" s="7">
        <f t="shared" si="22"/>
        <v>543044</v>
      </c>
      <c r="D105" s="7">
        <f t="shared" si="18"/>
        <v>5802146</v>
      </c>
      <c r="E105" s="7"/>
      <c r="F105" s="7">
        <f t="shared" si="23"/>
        <v>10494930</v>
      </c>
      <c r="G105" s="21">
        <v>0</v>
      </c>
      <c r="H105" s="21">
        <f t="shared" si="24"/>
        <v>1.0947263186081061E-2</v>
      </c>
      <c r="I105" s="21">
        <f t="shared" si="21"/>
        <v>1.0947263186081061E-2</v>
      </c>
      <c r="J105" s="21"/>
      <c r="K105" s="32">
        <v>4164328</v>
      </c>
      <c r="L105" s="82">
        <v>543713</v>
      </c>
      <c r="M105" s="32">
        <v>689573</v>
      </c>
      <c r="N105" s="32">
        <v>5397614</v>
      </c>
      <c r="O105" s="23">
        <v>0</v>
      </c>
      <c r="P105" s="23">
        <v>1.1119966494327478E-2</v>
      </c>
      <c r="Q105" s="23">
        <v>1.1119966494327478E-2</v>
      </c>
    </row>
    <row r="106" spans="1:17" x14ac:dyDescent="0.35">
      <c r="A106" s="25" t="str">
        <f>'Allocation schedule Non'!C67</f>
        <v>Johnson County Schools</v>
      </c>
      <c r="B106" s="7">
        <f>'2017 Prop share of contribs'!BT63</f>
        <v>1938153</v>
      </c>
      <c r="C106" s="7">
        <f t="shared" si="22"/>
        <v>253631</v>
      </c>
      <c r="D106" s="7">
        <f t="shared" si="18"/>
        <v>2709916</v>
      </c>
      <c r="E106" s="7"/>
      <c r="F106" s="7">
        <f t="shared" si="23"/>
        <v>4901700</v>
      </c>
      <c r="G106" s="21">
        <v>0</v>
      </c>
      <c r="H106" s="21">
        <f t="shared" si="24"/>
        <v>5.1129640654309777E-3</v>
      </c>
      <c r="I106" s="21">
        <f t="shared" si="21"/>
        <v>5.1129640654309777E-3</v>
      </c>
      <c r="J106" s="21"/>
      <c r="K106" s="32">
        <v>1886693</v>
      </c>
      <c r="L106" s="82">
        <v>246335</v>
      </c>
      <c r="M106" s="32">
        <v>312418</v>
      </c>
      <c r="N106" s="32">
        <v>2445446</v>
      </c>
      <c r="O106" s="23">
        <v>0</v>
      </c>
      <c r="P106" s="23">
        <v>5.0380182027998221E-3</v>
      </c>
      <c r="Q106" s="23">
        <v>5.0380182027998221E-3</v>
      </c>
    </row>
    <row r="107" spans="1:17" x14ac:dyDescent="0.35">
      <c r="A107" s="25" t="str">
        <f>'Allocation schedule Non'!C68</f>
        <v>Kenton County Schools</v>
      </c>
      <c r="B107" s="7">
        <f>'2017 Prop share of contribs'!BT64</f>
        <v>7389811</v>
      </c>
      <c r="C107" s="7">
        <f t="shared" si="22"/>
        <v>967046</v>
      </c>
      <c r="D107" s="7">
        <f t="shared" si="18"/>
        <v>10332397</v>
      </c>
      <c r="E107" s="7"/>
      <c r="F107" s="7">
        <f t="shared" si="23"/>
        <v>18689254</v>
      </c>
      <c r="G107" s="21">
        <v>0</v>
      </c>
      <c r="H107" s="21">
        <f t="shared" si="24"/>
        <v>1.9494763880227708E-2</v>
      </c>
      <c r="I107" s="21">
        <f t="shared" si="21"/>
        <v>1.9494763880227708E-2</v>
      </c>
      <c r="J107" s="21"/>
      <c r="K107" s="32">
        <v>7289833</v>
      </c>
      <c r="L107" s="82">
        <v>951793</v>
      </c>
      <c r="M107" s="32">
        <v>1207126</v>
      </c>
      <c r="N107" s="32">
        <v>9448752</v>
      </c>
      <c r="O107" s="23">
        <v>0</v>
      </c>
      <c r="P107" s="23">
        <v>1.946597249325531E-2</v>
      </c>
      <c r="Q107" s="23">
        <v>1.946597249325531E-2</v>
      </c>
    </row>
    <row r="108" spans="1:17" x14ac:dyDescent="0.35">
      <c r="A108" s="25" t="str">
        <f>'Allocation schedule Non'!C69</f>
        <v>Knott Counts Schools</v>
      </c>
      <c r="B108" s="7">
        <f>'2017 Prop share of contribs'!BT65</f>
        <v>1177347</v>
      </c>
      <c r="C108" s="7">
        <f t="shared" si="22"/>
        <v>154070</v>
      </c>
      <c r="D108" s="7">
        <f t="shared" si="18"/>
        <v>1646161</v>
      </c>
      <c r="E108" s="7"/>
      <c r="F108" s="7">
        <f t="shared" si="23"/>
        <v>2977578</v>
      </c>
      <c r="G108" s="21">
        <v>0</v>
      </c>
      <c r="H108" s="21">
        <f t="shared" si="24"/>
        <v>3.1059120949910929E-3</v>
      </c>
      <c r="I108" s="21">
        <f t="shared" si="21"/>
        <v>3.1059120949910929E-3</v>
      </c>
      <c r="J108" s="21"/>
      <c r="K108" s="32">
        <v>1193575</v>
      </c>
      <c r="L108" s="82">
        <v>155838</v>
      </c>
      <c r="M108" s="32">
        <v>197645</v>
      </c>
      <c r="N108" s="32">
        <v>1547058</v>
      </c>
      <c r="O108" s="23">
        <v>0</v>
      </c>
      <c r="P108" s="23">
        <v>3.1871921787629278E-3</v>
      </c>
      <c r="Q108" s="23">
        <v>3.1871921787629278E-3</v>
      </c>
    </row>
    <row r="109" spans="1:17" x14ac:dyDescent="0.35">
      <c r="A109" s="25" t="str">
        <f>'Allocation schedule Non'!C70</f>
        <v>Knox County Schools</v>
      </c>
      <c r="B109" s="7">
        <f>'2017 Prop share of contribs'!BT66</f>
        <v>2209536</v>
      </c>
      <c r="C109" s="7">
        <f t="shared" si="22"/>
        <v>289145</v>
      </c>
      <c r="D109" s="7">
        <f t="shared" si="18"/>
        <v>3089362</v>
      </c>
      <c r="E109" s="7"/>
      <c r="F109" s="7">
        <f t="shared" si="23"/>
        <v>5588043</v>
      </c>
      <c r="G109" s="21">
        <v>0</v>
      </c>
      <c r="H109" s="21">
        <f t="shared" si="24"/>
        <v>5.8288885601083537E-3</v>
      </c>
      <c r="I109" s="21">
        <f t="shared" si="21"/>
        <v>5.8288885601083537E-3</v>
      </c>
      <c r="J109" s="21"/>
      <c r="K109" s="32">
        <v>2263180</v>
      </c>
      <c r="L109" s="82">
        <v>295491</v>
      </c>
      <c r="M109" s="32">
        <v>374761</v>
      </c>
      <c r="N109" s="32">
        <v>2933432</v>
      </c>
      <c r="O109" s="23">
        <v>0</v>
      </c>
      <c r="P109" s="23">
        <v>6.0433490711614517E-3</v>
      </c>
      <c r="Q109" s="23">
        <v>6.0433490711614517E-3</v>
      </c>
    </row>
    <row r="110" spans="1:17" x14ac:dyDescent="0.35">
      <c r="A110" s="25" t="str">
        <f>'Allocation schedule Non'!C71</f>
        <v>Larue County Schools</v>
      </c>
      <c r="B110" s="7">
        <f>'2017 Prop share of contribs'!BT67</f>
        <v>1300902</v>
      </c>
      <c r="C110" s="7">
        <f t="shared" si="22"/>
        <v>170239</v>
      </c>
      <c r="D110" s="7">
        <f t="shared" si="18"/>
        <v>1818915</v>
      </c>
      <c r="E110" s="7"/>
      <c r="F110" s="7">
        <f t="shared" si="23"/>
        <v>3290056</v>
      </c>
      <c r="G110" s="21">
        <v>0</v>
      </c>
      <c r="H110" s="21">
        <f t="shared" si="24"/>
        <v>3.4318579474989456E-3</v>
      </c>
      <c r="I110" s="21">
        <f t="shared" si="21"/>
        <v>3.4318579474989456E-3</v>
      </c>
      <c r="J110" s="21"/>
      <c r="K110" s="32">
        <v>1291405</v>
      </c>
      <c r="L110" s="82">
        <v>168612</v>
      </c>
      <c r="M110" s="32">
        <v>213844</v>
      </c>
      <c r="N110" s="32">
        <v>1673861</v>
      </c>
      <c r="O110" s="23">
        <v>0</v>
      </c>
      <c r="P110" s="23">
        <v>3.4484270709542195E-3</v>
      </c>
      <c r="Q110" s="23">
        <v>3.4484270709542195E-3</v>
      </c>
    </row>
    <row r="111" spans="1:17" x14ac:dyDescent="0.35">
      <c r="A111" s="25" t="str">
        <f>'Allocation schedule Non'!C72</f>
        <v>Laurel County Schools</v>
      </c>
      <c r="B111" s="7">
        <f>'2017 Prop share of contribs'!BT68</f>
        <v>4338431</v>
      </c>
      <c r="C111" s="7">
        <f t="shared" si="22"/>
        <v>567736</v>
      </c>
      <c r="D111" s="7">
        <f t="shared" si="18"/>
        <v>6065973</v>
      </c>
      <c r="E111" s="7"/>
      <c r="F111" s="7">
        <f t="shared" si="23"/>
        <v>10972140</v>
      </c>
      <c r="G111" s="21">
        <v>0</v>
      </c>
      <c r="H111" s="21">
        <f t="shared" si="24"/>
        <v>1.1445041014521054E-2</v>
      </c>
      <c r="I111" s="21">
        <f t="shared" si="21"/>
        <v>1.1445041014521054E-2</v>
      </c>
      <c r="J111" s="21"/>
      <c r="K111" s="32">
        <v>4340417</v>
      </c>
      <c r="L111" s="82">
        <v>566704</v>
      </c>
      <c r="M111" s="32">
        <v>718731</v>
      </c>
      <c r="N111" s="32">
        <v>5625852</v>
      </c>
      <c r="O111" s="23">
        <v>0</v>
      </c>
      <c r="P111" s="23">
        <v>1.1590174055063077E-2</v>
      </c>
      <c r="Q111" s="23">
        <v>1.1590174055063077E-2</v>
      </c>
    </row>
    <row r="112" spans="1:17" x14ac:dyDescent="0.35">
      <c r="A112" s="25" t="str">
        <f>'Allocation schedule Non'!C73</f>
        <v>Lawrence County Schools</v>
      </c>
      <c r="B112" s="7">
        <f>'2017 Prop share of contribs'!BT69</f>
        <v>1290927</v>
      </c>
      <c r="C112" s="7">
        <f t="shared" si="22"/>
        <v>168933</v>
      </c>
      <c r="D112" s="7">
        <f t="shared" si="18"/>
        <v>1804968</v>
      </c>
      <c r="E112" s="7"/>
      <c r="F112" s="7">
        <f t="shared" si="23"/>
        <v>3264828</v>
      </c>
      <c r="G112" s="21">
        <v>0</v>
      </c>
      <c r="H112" s="21">
        <f t="shared" si="24"/>
        <v>3.4055426166050328E-3</v>
      </c>
      <c r="I112" s="21">
        <f t="shared" si="21"/>
        <v>3.4055426166050328E-3</v>
      </c>
      <c r="J112" s="21"/>
      <c r="K112" s="32">
        <v>1252092</v>
      </c>
      <c r="L112" s="82">
        <v>163479</v>
      </c>
      <c r="M112" s="32">
        <v>207334</v>
      </c>
      <c r="N112" s="32">
        <v>1622905</v>
      </c>
      <c r="O112" s="23">
        <v>0</v>
      </c>
      <c r="P112" s="23">
        <v>3.3434493877251203E-3</v>
      </c>
      <c r="Q112" s="23">
        <v>3.3434493877251203E-3</v>
      </c>
    </row>
    <row r="113" spans="1:17" x14ac:dyDescent="0.35">
      <c r="A113" s="25" t="str">
        <f>'Allocation schedule Non'!C74</f>
        <v>Lee County Schools</v>
      </c>
      <c r="B113" s="7">
        <f>'2017 Prop share of contribs'!BT70</f>
        <v>396427</v>
      </c>
      <c r="C113" s="7">
        <f t="shared" ref="C113:C144" si="25">ROUND(B113/$B$230*$D$245,0)</f>
        <v>51877</v>
      </c>
      <c r="D113" s="7">
        <f t="shared" ref="D113:D176" si="26">ROUND(B113/$B$234*(($D$244+$D$240)*0.95261),0)</f>
        <v>554282</v>
      </c>
      <c r="E113" s="7"/>
      <c r="F113" s="7">
        <f t="shared" ref="F113:F144" si="27">B113+C113+D113</f>
        <v>1002586</v>
      </c>
      <c r="G113" s="21">
        <v>0</v>
      </c>
      <c r="H113" s="21">
        <f t="shared" ref="H113:H144" si="28">F113/($B$234+$D$234+$C$234)</f>
        <v>1.0457976192961998E-3</v>
      </c>
      <c r="I113" s="21">
        <f t="shared" si="21"/>
        <v>1.0457976192961998E-3</v>
      </c>
      <c r="J113" s="21"/>
      <c r="K113" s="32">
        <v>420901</v>
      </c>
      <c r="L113" s="82">
        <v>54955</v>
      </c>
      <c r="M113" s="32">
        <v>69697</v>
      </c>
      <c r="N113" s="32">
        <v>545553</v>
      </c>
      <c r="O113" s="23">
        <v>0</v>
      </c>
      <c r="P113" s="23">
        <v>1.1239282914413367E-3</v>
      </c>
      <c r="Q113" s="23">
        <v>1.1239282914413367E-3</v>
      </c>
    </row>
    <row r="114" spans="1:17" x14ac:dyDescent="0.35">
      <c r="A114" s="25" t="str">
        <f>'Allocation schedule Non'!C75</f>
        <v>Leslie County Schools</v>
      </c>
      <c r="B114" s="7">
        <f>'2017 Prop share of contribs'!BT71</f>
        <v>878689</v>
      </c>
      <c r="C114" s="7">
        <f t="shared" si="25"/>
        <v>114987</v>
      </c>
      <c r="D114" s="7">
        <f t="shared" si="26"/>
        <v>1228579</v>
      </c>
      <c r="E114" s="7"/>
      <c r="F114" s="7">
        <f t="shared" si="27"/>
        <v>2222255</v>
      </c>
      <c r="G114" s="21">
        <v>0</v>
      </c>
      <c r="H114" s="21">
        <f t="shared" si="28"/>
        <v>2.3180345511198803E-3</v>
      </c>
      <c r="I114" s="21">
        <f t="shared" ref="I114:I177" si="29">G114+H114</f>
        <v>2.3180345511198803E-3</v>
      </c>
      <c r="J114" s="21"/>
      <c r="K114" s="32">
        <v>878429</v>
      </c>
      <c r="L114" s="82">
        <v>114692</v>
      </c>
      <c r="M114" s="32">
        <v>145459</v>
      </c>
      <c r="N114" s="32">
        <v>1138580</v>
      </c>
      <c r="O114" s="23">
        <v>0</v>
      </c>
      <c r="P114" s="23">
        <v>2.3456607773566954E-3</v>
      </c>
      <c r="Q114" s="23">
        <v>2.3456607773566954E-3</v>
      </c>
    </row>
    <row r="115" spans="1:17" x14ac:dyDescent="0.35">
      <c r="A115" s="25" t="str">
        <f>'Allocation schedule Non'!C76</f>
        <v>Letcher County Schools</v>
      </c>
      <c r="B115" s="7">
        <f>'2017 Prop share of contribs'!BT72</f>
        <v>1592015</v>
      </c>
      <c r="C115" s="7">
        <f t="shared" si="25"/>
        <v>208334</v>
      </c>
      <c r="D115" s="7">
        <f t="shared" si="26"/>
        <v>2225947</v>
      </c>
      <c r="E115" s="7"/>
      <c r="F115" s="7">
        <f t="shared" si="27"/>
        <v>4026296</v>
      </c>
      <c r="G115" s="21">
        <v>0</v>
      </c>
      <c r="H115" s="21">
        <f t="shared" si="28"/>
        <v>4.1998300109734347E-3</v>
      </c>
      <c r="I115" s="21">
        <f t="shared" si="29"/>
        <v>4.1998300109734347E-3</v>
      </c>
      <c r="J115" s="21"/>
      <c r="K115" s="32">
        <v>1636406</v>
      </c>
      <c r="L115" s="82">
        <v>213656</v>
      </c>
      <c r="M115" s="32">
        <v>270973</v>
      </c>
      <c r="N115" s="32">
        <v>2121035</v>
      </c>
      <c r="O115" s="23">
        <v>0</v>
      </c>
      <c r="P115" s="23">
        <v>4.3696785530228516E-3</v>
      </c>
      <c r="Q115" s="23">
        <v>4.3696785530228516E-3</v>
      </c>
    </row>
    <row r="116" spans="1:17" x14ac:dyDescent="0.35">
      <c r="A116" s="25" t="str">
        <f>'Allocation schedule Non'!C77</f>
        <v>Lewis County Schools</v>
      </c>
      <c r="B116" s="7">
        <f>'2017 Prop share of contribs'!BT73</f>
        <v>1039465</v>
      </c>
      <c r="C116" s="7">
        <f t="shared" si="25"/>
        <v>136027</v>
      </c>
      <c r="D116" s="7">
        <f t="shared" si="26"/>
        <v>1453375</v>
      </c>
      <c r="E116" s="7"/>
      <c r="F116" s="7">
        <f t="shared" si="27"/>
        <v>2628867</v>
      </c>
      <c r="G116" s="21">
        <v>0</v>
      </c>
      <c r="H116" s="21">
        <f t="shared" si="28"/>
        <v>2.7421715943034739E-3</v>
      </c>
      <c r="I116" s="21">
        <f t="shared" si="29"/>
        <v>2.7421715943034739E-3</v>
      </c>
      <c r="J116" s="21"/>
      <c r="K116" s="32">
        <v>1117276</v>
      </c>
      <c r="L116" s="82">
        <v>145876</v>
      </c>
      <c r="M116" s="32">
        <v>185010</v>
      </c>
      <c r="N116" s="32">
        <v>1448162</v>
      </c>
      <c r="O116" s="23">
        <v>0</v>
      </c>
      <c r="P116" s="23">
        <v>2.983450264942671E-3</v>
      </c>
      <c r="Q116" s="23">
        <v>2.983450264942671E-3</v>
      </c>
    </row>
    <row r="117" spans="1:17" x14ac:dyDescent="0.35">
      <c r="A117" s="25" t="str">
        <f>'Allocation schedule Non'!C78</f>
        <v>Lincoln County Schools</v>
      </c>
      <c r="B117" s="7">
        <f>'2017 Prop share of contribs'!BT74</f>
        <v>1798572</v>
      </c>
      <c r="C117" s="7">
        <f t="shared" si="25"/>
        <v>235365</v>
      </c>
      <c r="D117" s="7">
        <f t="shared" si="26"/>
        <v>2514754</v>
      </c>
      <c r="E117" s="7"/>
      <c r="F117" s="7">
        <f t="shared" si="27"/>
        <v>4548691</v>
      </c>
      <c r="G117" s="21">
        <v>0</v>
      </c>
      <c r="H117" s="21">
        <f t="shared" si="28"/>
        <v>4.7447403202458939E-3</v>
      </c>
      <c r="I117" s="21">
        <f t="shared" si="29"/>
        <v>4.7447403202458939E-3</v>
      </c>
      <c r="J117" s="21"/>
      <c r="K117" s="32">
        <v>1841394</v>
      </c>
      <c r="L117" s="82">
        <v>240420</v>
      </c>
      <c r="M117" s="32">
        <v>304917</v>
      </c>
      <c r="N117" s="32">
        <v>2386731</v>
      </c>
      <c r="O117" s="23">
        <v>0</v>
      </c>
      <c r="P117" s="23">
        <v>4.9170557122040813E-3</v>
      </c>
      <c r="Q117" s="23">
        <v>4.9170557122040813E-3</v>
      </c>
    </row>
    <row r="118" spans="1:17" x14ac:dyDescent="0.35">
      <c r="A118" s="25" t="str">
        <f>'Allocation schedule Non'!C79</f>
        <v>Livingston County Schools</v>
      </c>
      <c r="B118" s="7">
        <f>'2017 Prop share of contribs'!BT75</f>
        <v>660065</v>
      </c>
      <c r="C118" s="7">
        <f t="shared" si="25"/>
        <v>86377</v>
      </c>
      <c r="D118" s="7">
        <f t="shared" si="26"/>
        <v>922900</v>
      </c>
      <c r="E118" s="7"/>
      <c r="F118" s="7">
        <f t="shared" si="27"/>
        <v>1669342</v>
      </c>
      <c r="G118" s="21">
        <v>0</v>
      </c>
      <c r="H118" s="21">
        <f t="shared" si="28"/>
        <v>1.7412909110950648E-3</v>
      </c>
      <c r="I118" s="21">
        <f t="shared" si="29"/>
        <v>1.7412909110950648E-3</v>
      </c>
      <c r="J118" s="21"/>
      <c r="K118" s="32">
        <v>698012</v>
      </c>
      <c r="L118" s="82">
        <v>91136</v>
      </c>
      <c r="M118" s="32">
        <v>115584</v>
      </c>
      <c r="N118" s="32">
        <v>904732</v>
      </c>
      <c r="O118" s="23">
        <v>0</v>
      </c>
      <c r="P118" s="23">
        <v>1.8638957002753234E-3</v>
      </c>
      <c r="Q118" s="23">
        <v>1.8638957002753234E-3</v>
      </c>
    </row>
    <row r="119" spans="1:17" x14ac:dyDescent="0.35">
      <c r="A119" s="25" t="str">
        <f>'Allocation schedule Non'!C80</f>
        <v>Logan County Schools</v>
      </c>
      <c r="B119" s="7">
        <f>'2017 Prop share of contribs'!BT76</f>
        <v>1841168</v>
      </c>
      <c r="C119" s="7">
        <f t="shared" si="25"/>
        <v>240939</v>
      </c>
      <c r="D119" s="7">
        <f t="shared" si="26"/>
        <v>2574312</v>
      </c>
      <c r="E119" s="7"/>
      <c r="F119" s="7">
        <f t="shared" si="27"/>
        <v>4656419</v>
      </c>
      <c r="G119" s="21">
        <v>0</v>
      </c>
      <c r="H119" s="21">
        <f t="shared" si="28"/>
        <v>4.8571114145276231E-3</v>
      </c>
      <c r="I119" s="21">
        <f t="shared" si="29"/>
        <v>4.8571114145276231E-3</v>
      </c>
      <c r="J119" s="21"/>
      <c r="K119" s="32">
        <v>1818595</v>
      </c>
      <c r="L119" s="82">
        <v>237444</v>
      </c>
      <c r="M119" s="32">
        <v>301142</v>
      </c>
      <c r="N119" s="32">
        <v>2357181</v>
      </c>
      <c r="O119" s="23">
        <v>0</v>
      </c>
      <c r="P119" s="23">
        <v>4.8561778854629735E-3</v>
      </c>
      <c r="Q119" s="23">
        <v>4.8561778854629735E-3</v>
      </c>
    </row>
    <row r="120" spans="1:17" x14ac:dyDescent="0.35">
      <c r="A120" s="25" t="str">
        <f>'Allocation schedule Non'!C81</f>
        <v>Lyon County Schools</v>
      </c>
      <c r="B120" s="7">
        <f>'2017 Prop share of contribs'!BT77</f>
        <v>414260</v>
      </c>
      <c r="C120" s="7">
        <f t="shared" si="25"/>
        <v>54211</v>
      </c>
      <c r="D120" s="7">
        <f t="shared" si="26"/>
        <v>579216</v>
      </c>
      <c r="E120" s="7"/>
      <c r="F120" s="7">
        <f t="shared" si="27"/>
        <v>1047687</v>
      </c>
      <c r="G120" s="21">
        <v>0</v>
      </c>
      <c r="H120" s="21">
        <f t="shared" si="28"/>
        <v>1.0928424797150345E-3</v>
      </c>
      <c r="I120" s="21">
        <f t="shared" si="29"/>
        <v>1.0928424797150345E-3</v>
      </c>
      <c r="J120" s="21"/>
      <c r="K120" s="32">
        <v>427700</v>
      </c>
      <c r="L120" s="82">
        <v>55842</v>
      </c>
      <c r="M120" s="32">
        <v>70823</v>
      </c>
      <c r="N120" s="32">
        <v>554365</v>
      </c>
      <c r="O120" s="23">
        <v>0</v>
      </c>
      <c r="P120" s="23">
        <v>1.14208245080657E-3</v>
      </c>
      <c r="Q120" s="23">
        <v>1.14208245080657E-3</v>
      </c>
    </row>
    <row r="121" spans="1:17" x14ac:dyDescent="0.35">
      <c r="A121" s="25" t="str">
        <f>'Allocation schedule Non'!C82</f>
        <v>Madison County Schools</v>
      </c>
      <c r="B121" s="7">
        <f>'2017 Prop share of contribs'!BT78</f>
        <v>5408459</v>
      </c>
      <c r="C121" s="7">
        <f t="shared" si="25"/>
        <v>707762</v>
      </c>
      <c r="D121" s="7">
        <f t="shared" si="26"/>
        <v>7562080</v>
      </c>
      <c r="E121" s="7"/>
      <c r="F121" s="7">
        <f t="shared" si="27"/>
        <v>13678301</v>
      </c>
      <c r="G121" s="21">
        <v>0</v>
      </c>
      <c r="H121" s="21">
        <f t="shared" si="28"/>
        <v>1.4267837992767532E-2</v>
      </c>
      <c r="I121" s="21">
        <f t="shared" si="29"/>
        <v>1.4267837992767532E-2</v>
      </c>
      <c r="J121" s="21"/>
      <c r="K121" s="32">
        <v>5335188</v>
      </c>
      <c r="L121" s="82">
        <v>696586</v>
      </c>
      <c r="M121" s="32">
        <v>883456</v>
      </c>
      <c r="N121" s="32">
        <v>6915230</v>
      </c>
      <c r="O121" s="23">
        <v>0</v>
      </c>
      <c r="P121" s="23">
        <v>1.4246503343990181E-2</v>
      </c>
      <c r="Q121" s="23">
        <v>1.4246503343990181E-2</v>
      </c>
    </row>
    <row r="122" spans="1:17" x14ac:dyDescent="0.35">
      <c r="A122" s="25" t="str">
        <f>'Allocation schedule Non'!C83</f>
        <v>Magoffin County Schools</v>
      </c>
      <c r="B122" s="7">
        <f>'2017 Prop share of contribs'!BT79</f>
        <v>1003486</v>
      </c>
      <c r="C122" s="7">
        <f t="shared" si="25"/>
        <v>131318</v>
      </c>
      <c r="D122" s="7">
        <f t="shared" si="26"/>
        <v>1403069</v>
      </c>
      <c r="E122" s="7"/>
      <c r="F122" s="7">
        <f t="shared" si="27"/>
        <v>2537873</v>
      </c>
      <c r="G122" s="21">
        <v>0</v>
      </c>
      <c r="H122" s="21">
        <f t="shared" si="28"/>
        <v>2.6472557381372812E-3</v>
      </c>
      <c r="I122" s="21">
        <f t="shared" si="29"/>
        <v>2.6472557381372812E-3</v>
      </c>
      <c r="J122" s="21"/>
      <c r="K122" s="32">
        <v>1043254</v>
      </c>
      <c r="L122" s="82">
        <v>136212</v>
      </c>
      <c r="M122" s="32">
        <v>172753</v>
      </c>
      <c r="N122" s="32">
        <v>1352219</v>
      </c>
      <c r="O122" s="23">
        <v>0</v>
      </c>
      <c r="P122" s="23">
        <v>2.7857920134698425E-3</v>
      </c>
      <c r="Q122" s="23">
        <v>2.7857920134698425E-3</v>
      </c>
    </row>
    <row r="123" spans="1:17" x14ac:dyDescent="0.35">
      <c r="A123" s="25" t="str">
        <f>'Allocation schedule Non'!C84</f>
        <v>Marion County Schools</v>
      </c>
      <c r="B123" s="7">
        <f>'2017 Prop share of contribs'!BT80</f>
        <v>1814225</v>
      </c>
      <c r="C123" s="7">
        <f t="shared" si="25"/>
        <v>237413</v>
      </c>
      <c r="D123" s="7">
        <f t="shared" si="26"/>
        <v>2536640</v>
      </c>
      <c r="E123" s="7"/>
      <c r="F123" s="7">
        <f t="shared" si="27"/>
        <v>4588278</v>
      </c>
      <c r="G123" s="21">
        <v>0</v>
      </c>
      <c r="H123" s="21">
        <f t="shared" si="28"/>
        <v>4.7860335263699358E-3</v>
      </c>
      <c r="I123" s="21">
        <f t="shared" si="29"/>
        <v>4.7860335263699358E-3</v>
      </c>
      <c r="J123" s="21"/>
      <c r="K123" s="32">
        <v>1725209</v>
      </c>
      <c r="L123" s="82">
        <v>225251</v>
      </c>
      <c r="M123" s="32">
        <v>285678</v>
      </c>
      <c r="N123" s="32">
        <v>2236138</v>
      </c>
      <c r="O123" s="23">
        <v>0</v>
      </c>
      <c r="P123" s="23">
        <v>4.6068095341186789E-3</v>
      </c>
      <c r="Q123" s="23">
        <v>4.6068095341186789E-3</v>
      </c>
    </row>
    <row r="124" spans="1:17" x14ac:dyDescent="0.35">
      <c r="A124" s="25" t="str">
        <f>'Allocation schedule Non'!C85</f>
        <v>Marshall County Schools</v>
      </c>
      <c r="B124" s="7">
        <f>'2017 Prop share of contribs'!BT81</f>
        <v>2442780</v>
      </c>
      <c r="C124" s="7">
        <f t="shared" si="25"/>
        <v>319667</v>
      </c>
      <c r="D124" s="7">
        <f t="shared" si="26"/>
        <v>3415483</v>
      </c>
      <c r="E124" s="7"/>
      <c r="F124" s="7">
        <f t="shared" si="27"/>
        <v>6177930</v>
      </c>
      <c r="G124" s="21">
        <v>0</v>
      </c>
      <c r="H124" s="21">
        <f t="shared" si="28"/>
        <v>6.4441997855331822E-3</v>
      </c>
      <c r="I124" s="21">
        <f t="shared" si="29"/>
        <v>6.4441997855331822E-3</v>
      </c>
      <c r="J124" s="21"/>
      <c r="K124" s="32">
        <v>2456676</v>
      </c>
      <c r="L124" s="82">
        <v>320754</v>
      </c>
      <c r="M124" s="32">
        <v>406802</v>
      </c>
      <c r="N124" s="32">
        <v>3184232</v>
      </c>
      <c r="O124" s="23">
        <v>0</v>
      </c>
      <c r="P124" s="23">
        <v>6.560038037207807E-3</v>
      </c>
      <c r="Q124" s="23">
        <v>6.560038037207807E-3</v>
      </c>
    </row>
    <row r="125" spans="1:17" x14ac:dyDescent="0.35">
      <c r="A125" s="25" t="str">
        <f>'Allocation schedule Non'!C86</f>
        <v>Martin County Schools</v>
      </c>
      <c r="B125" s="7">
        <f>'2017 Prop share of contribs'!BT82</f>
        <v>859879</v>
      </c>
      <c r="C125" s="7">
        <f t="shared" si="25"/>
        <v>112526</v>
      </c>
      <c r="D125" s="7">
        <f t="shared" si="26"/>
        <v>1202279</v>
      </c>
      <c r="E125" s="7"/>
      <c r="F125" s="7">
        <f t="shared" si="27"/>
        <v>2174684</v>
      </c>
      <c r="G125" s="21">
        <v>0</v>
      </c>
      <c r="H125" s="21">
        <f t="shared" si="28"/>
        <v>2.2684132333002224E-3</v>
      </c>
      <c r="I125" s="21">
        <f t="shared" si="29"/>
        <v>2.2684132333002224E-3</v>
      </c>
      <c r="J125" s="21"/>
      <c r="K125" s="32">
        <v>924633</v>
      </c>
      <c r="L125" s="82">
        <v>120724</v>
      </c>
      <c r="M125" s="32">
        <v>153110</v>
      </c>
      <c r="N125" s="32">
        <v>1198467</v>
      </c>
      <c r="O125" s="23">
        <v>0</v>
      </c>
      <c r="P125" s="23">
        <v>2.4690377793886655E-3</v>
      </c>
      <c r="Q125" s="23">
        <v>2.4690377793886655E-3</v>
      </c>
    </row>
    <row r="126" spans="1:17" x14ac:dyDescent="0.35">
      <c r="A126" s="25" t="str">
        <f>'Allocation schedule Non'!C87</f>
        <v>Mason County Schools</v>
      </c>
      <c r="B126" s="7">
        <f>'2017 Prop share of contribs'!BT83</f>
        <v>1422082</v>
      </c>
      <c r="C126" s="7">
        <f t="shared" si="25"/>
        <v>186097</v>
      </c>
      <c r="D126" s="7">
        <f t="shared" si="26"/>
        <v>1988348</v>
      </c>
      <c r="E126" s="7"/>
      <c r="F126" s="7">
        <f t="shared" si="27"/>
        <v>3596527</v>
      </c>
      <c r="G126" s="21">
        <v>0</v>
      </c>
      <c r="H126" s="21">
        <f t="shared" si="28"/>
        <v>3.7515378973320026E-3</v>
      </c>
      <c r="I126" s="21">
        <f t="shared" si="29"/>
        <v>3.7515378973320026E-3</v>
      </c>
      <c r="J126" s="21"/>
      <c r="K126" s="32">
        <v>1401237</v>
      </c>
      <c r="L126" s="82">
        <v>182952</v>
      </c>
      <c r="M126" s="32">
        <v>232031</v>
      </c>
      <c r="N126" s="32">
        <v>1816220</v>
      </c>
      <c r="O126" s="23">
        <v>0</v>
      </c>
      <c r="P126" s="23">
        <v>3.741709864085771E-3</v>
      </c>
      <c r="Q126" s="23">
        <v>3.741709864085771E-3</v>
      </c>
    </row>
    <row r="127" spans="1:17" x14ac:dyDescent="0.35">
      <c r="A127" s="25" t="str">
        <f>'Allocation schedule Non'!C88</f>
        <v>McCracken County Schools</v>
      </c>
      <c r="B127" s="7">
        <f>'2017 Prop share of contribs'!BT84</f>
        <v>3615479</v>
      </c>
      <c r="C127" s="7">
        <f t="shared" si="25"/>
        <v>473129</v>
      </c>
      <c r="D127" s="7">
        <f t="shared" si="26"/>
        <v>5055145</v>
      </c>
      <c r="E127" s="7"/>
      <c r="F127" s="7">
        <f t="shared" si="27"/>
        <v>9143753</v>
      </c>
      <c r="G127" s="21">
        <v>0</v>
      </c>
      <c r="H127" s="21">
        <f t="shared" si="28"/>
        <v>9.5378502381167143E-3</v>
      </c>
      <c r="I127" s="21">
        <f t="shared" si="29"/>
        <v>9.5378502381167143E-3</v>
      </c>
      <c r="J127" s="21"/>
      <c r="K127" s="32">
        <v>3557347</v>
      </c>
      <c r="L127" s="82">
        <v>464463</v>
      </c>
      <c r="M127" s="32">
        <v>589062</v>
      </c>
      <c r="N127" s="32">
        <v>4610872</v>
      </c>
      <c r="O127" s="23">
        <v>0</v>
      </c>
      <c r="P127" s="23">
        <v>9.4991494667148735E-3</v>
      </c>
      <c r="Q127" s="23">
        <v>9.4991494667148735E-3</v>
      </c>
    </row>
    <row r="128" spans="1:17" x14ac:dyDescent="0.35">
      <c r="A128" s="25" t="str">
        <f>'Allocation schedule Non'!C89</f>
        <v>McCreary County Schools</v>
      </c>
      <c r="B128" s="7">
        <f>'2017 Prop share of contribs'!BT85</f>
        <v>1387698</v>
      </c>
      <c r="C128" s="7">
        <f t="shared" si="25"/>
        <v>181597</v>
      </c>
      <c r="D128" s="7">
        <f t="shared" si="26"/>
        <v>1940272</v>
      </c>
      <c r="E128" s="7"/>
      <c r="F128" s="7">
        <f t="shared" si="27"/>
        <v>3509567</v>
      </c>
      <c r="G128" s="21">
        <v>0</v>
      </c>
      <c r="H128" s="21">
        <f t="shared" si="28"/>
        <v>3.6608299072204338E-3</v>
      </c>
      <c r="I128" s="21">
        <f t="shared" si="29"/>
        <v>3.6608299072204338E-3</v>
      </c>
      <c r="J128" s="21"/>
      <c r="K128" s="32">
        <v>1404155</v>
      </c>
      <c r="L128" s="82">
        <v>183333</v>
      </c>
      <c r="M128" s="32">
        <v>232515</v>
      </c>
      <c r="N128" s="32">
        <v>1820003</v>
      </c>
      <c r="O128" s="23">
        <v>0</v>
      </c>
      <c r="P128" s="23">
        <v>3.7495034620066378E-3</v>
      </c>
      <c r="Q128" s="23">
        <v>3.7495034620066378E-3</v>
      </c>
    </row>
    <row r="129" spans="1:17" x14ac:dyDescent="0.35">
      <c r="A129" s="25" t="str">
        <f>'Allocation schedule Non'!C90</f>
        <v>McLean County Schools</v>
      </c>
      <c r="B129" s="7">
        <f>'2017 Prop share of contribs'!BT86</f>
        <v>799334</v>
      </c>
      <c r="C129" s="7">
        <f t="shared" si="25"/>
        <v>104603</v>
      </c>
      <c r="D129" s="7">
        <f t="shared" si="26"/>
        <v>1117625</v>
      </c>
      <c r="E129" s="7"/>
      <c r="F129" s="7">
        <f t="shared" si="27"/>
        <v>2021562</v>
      </c>
      <c r="G129" s="21">
        <v>0</v>
      </c>
      <c r="H129" s="21">
        <f t="shared" si="28"/>
        <v>2.1086916502521123E-3</v>
      </c>
      <c r="I129" s="21">
        <f t="shared" si="29"/>
        <v>2.1086916502521123E-3</v>
      </c>
      <c r="J129" s="21"/>
      <c r="K129" s="32">
        <v>798528</v>
      </c>
      <c r="L129" s="82">
        <v>104259</v>
      </c>
      <c r="M129" s="32">
        <v>132229</v>
      </c>
      <c r="N129" s="32">
        <v>1035016</v>
      </c>
      <c r="O129" s="23">
        <v>0</v>
      </c>
      <c r="P129" s="23">
        <v>2.1323020210583512E-3</v>
      </c>
      <c r="Q129" s="23">
        <v>2.1323020210583512E-3</v>
      </c>
    </row>
    <row r="130" spans="1:17" x14ac:dyDescent="0.35">
      <c r="A130" s="25" t="str">
        <f>'Allocation schedule Non'!C91</f>
        <v>Meade County Schools</v>
      </c>
      <c r="B130" s="7">
        <f>'2017 Prop share of contribs'!BT87</f>
        <v>2203821</v>
      </c>
      <c r="C130" s="7">
        <f t="shared" si="25"/>
        <v>288397</v>
      </c>
      <c r="D130" s="7">
        <f t="shared" si="26"/>
        <v>3081372</v>
      </c>
      <c r="E130" s="7"/>
      <c r="F130" s="7">
        <f t="shared" si="27"/>
        <v>5573590</v>
      </c>
      <c r="G130" s="21">
        <v>0</v>
      </c>
      <c r="H130" s="21">
        <f t="shared" si="28"/>
        <v>5.8138126334629711E-3</v>
      </c>
      <c r="I130" s="21">
        <f t="shared" si="29"/>
        <v>5.8138126334629711E-3</v>
      </c>
      <c r="J130" s="21"/>
      <c r="K130" s="32">
        <v>2186033</v>
      </c>
      <c r="L130" s="82">
        <v>285418</v>
      </c>
      <c r="M130" s="32">
        <v>361986</v>
      </c>
      <c r="N130" s="32">
        <v>2833437</v>
      </c>
      <c r="O130" s="23">
        <v>0</v>
      </c>
      <c r="P130" s="23">
        <v>5.8373430378288946E-3</v>
      </c>
      <c r="Q130" s="23">
        <v>5.8373430378288946E-3</v>
      </c>
    </row>
    <row r="131" spans="1:17" x14ac:dyDescent="0.35">
      <c r="A131" s="25" t="str">
        <f>'Allocation schedule Non'!C92</f>
        <v>Menifee County Schools</v>
      </c>
      <c r="B131" s="7">
        <f>'2017 Prop share of contribs'!BT88</f>
        <v>447921</v>
      </c>
      <c r="C131" s="7">
        <f t="shared" si="25"/>
        <v>58616</v>
      </c>
      <c r="D131" s="7">
        <f t="shared" si="26"/>
        <v>626281</v>
      </c>
      <c r="E131" s="7"/>
      <c r="F131" s="7">
        <f t="shared" si="27"/>
        <v>1132818</v>
      </c>
      <c r="G131" s="21">
        <v>0</v>
      </c>
      <c r="H131" s="21">
        <f t="shared" si="28"/>
        <v>1.1816426396297998E-3</v>
      </c>
      <c r="I131" s="21">
        <f t="shared" si="29"/>
        <v>1.1816426396297998E-3</v>
      </c>
      <c r="J131" s="21"/>
      <c r="K131" s="32">
        <v>452589</v>
      </c>
      <c r="L131" s="82">
        <v>59092</v>
      </c>
      <c r="M131" s="32">
        <v>74944</v>
      </c>
      <c r="N131" s="32">
        <v>586625</v>
      </c>
      <c r="O131" s="23">
        <v>0</v>
      </c>
      <c r="P131" s="23">
        <v>1.2085433202031226E-3</v>
      </c>
      <c r="Q131" s="23">
        <v>1.2085433202031226E-3</v>
      </c>
    </row>
    <row r="132" spans="1:17" x14ac:dyDescent="0.35">
      <c r="A132" s="25" t="str">
        <f>'Allocation schedule Non'!C93</f>
        <v>Mercer County Schools</v>
      </c>
      <c r="B132" s="7">
        <f>'2017 Prop share of contribs'!BT89</f>
        <v>1527281</v>
      </c>
      <c r="C132" s="7">
        <f t="shared" si="25"/>
        <v>199863</v>
      </c>
      <c r="D132" s="7">
        <f t="shared" si="26"/>
        <v>2135437</v>
      </c>
      <c r="E132" s="7"/>
      <c r="F132" s="7">
        <f t="shared" si="27"/>
        <v>3862581</v>
      </c>
      <c r="G132" s="21">
        <v>0</v>
      </c>
      <c r="H132" s="21">
        <f t="shared" si="28"/>
        <v>4.0290588679063287E-3</v>
      </c>
      <c r="I132" s="21">
        <f t="shared" si="29"/>
        <v>4.0290588679063287E-3</v>
      </c>
      <c r="J132" s="21"/>
      <c r="K132" s="32">
        <v>1492719</v>
      </c>
      <c r="L132" s="82">
        <v>194896</v>
      </c>
      <c r="M132" s="32">
        <v>247180</v>
      </c>
      <c r="N132" s="32">
        <v>1934795</v>
      </c>
      <c r="O132" s="23">
        <v>0</v>
      </c>
      <c r="P132" s="23">
        <v>3.9859937323032616E-3</v>
      </c>
      <c r="Q132" s="23">
        <v>3.9859937323032616E-3</v>
      </c>
    </row>
    <row r="133" spans="1:17" x14ac:dyDescent="0.35">
      <c r="A133" s="25" t="str">
        <f>'Allocation schedule Non'!C94</f>
        <v>Metcalf County Schools</v>
      </c>
      <c r="B133" s="7">
        <f>'2017 Prop share of contribs'!BT90</f>
        <v>786214</v>
      </c>
      <c r="C133" s="7">
        <f t="shared" si="25"/>
        <v>102886</v>
      </c>
      <c r="D133" s="7">
        <f t="shared" si="26"/>
        <v>1099280</v>
      </c>
      <c r="E133" s="7"/>
      <c r="F133" s="7">
        <f t="shared" si="27"/>
        <v>1988380</v>
      </c>
      <c r="G133" s="21">
        <v>0</v>
      </c>
      <c r="H133" s="21">
        <f t="shared" si="28"/>
        <v>2.0740795006674514E-3</v>
      </c>
      <c r="I133" s="21">
        <f t="shared" si="29"/>
        <v>2.0740795006674514E-3</v>
      </c>
      <c r="J133" s="21"/>
      <c r="K133" s="32">
        <v>747245</v>
      </c>
      <c r="L133" s="82">
        <v>97564</v>
      </c>
      <c r="M133" s="32">
        <v>123737</v>
      </c>
      <c r="N133" s="32">
        <v>968546</v>
      </c>
      <c r="O133" s="23">
        <v>0</v>
      </c>
      <c r="P133" s="23">
        <v>1.9953629637493348E-3</v>
      </c>
      <c r="Q133" s="23">
        <v>1.9953629637493348E-3</v>
      </c>
    </row>
    <row r="134" spans="1:17" x14ac:dyDescent="0.35">
      <c r="A134" s="25" t="str">
        <f>'Allocation schedule Non'!C95</f>
        <v>Monroe County Schools</v>
      </c>
      <c r="B134" s="7">
        <f>'2017 Prop share of contribs'!BT91</f>
        <v>945022</v>
      </c>
      <c r="C134" s="7">
        <f t="shared" si="25"/>
        <v>123668</v>
      </c>
      <c r="D134" s="7">
        <f t="shared" si="26"/>
        <v>1321325</v>
      </c>
      <c r="E134" s="7"/>
      <c r="F134" s="7">
        <f t="shared" si="27"/>
        <v>2390015</v>
      </c>
      <c r="G134" s="21">
        <v>0</v>
      </c>
      <c r="H134" s="21">
        <f t="shared" si="28"/>
        <v>2.4930250343433947E-3</v>
      </c>
      <c r="I134" s="21">
        <f t="shared" si="29"/>
        <v>2.4930250343433947E-3</v>
      </c>
      <c r="J134" s="21"/>
      <c r="K134" s="32">
        <v>947419</v>
      </c>
      <c r="L134" s="82">
        <v>123699</v>
      </c>
      <c r="M134" s="32">
        <v>156883</v>
      </c>
      <c r="N134" s="32">
        <v>1228001</v>
      </c>
      <c r="O134" s="23">
        <v>0</v>
      </c>
      <c r="P134" s="23">
        <v>2.529882643516309E-3</v>
      </c>
      <c r="Q134" s="23">
        <v>2.529882643516309E-3</v>
      </c>
    </row>
    <row r="135" spans="1:17" x14ac:dyDescent="0.35">
      <c r="A135" s="25" t="str">
        <f>'Allocation schedule Non'!C96</f>
        <v>Montgomery County Schools</v>
      </c>
      <c r="B135" s="7">
        <f>'2017 Prop share of contribs'!BT92</f>
        <v>2427276</v>
      </c>
      <c r="C135" s="7">
        <f t="shared" si="25"/>
        <v>317638</v>
      </c>
      <c r="D135" s="7">
        <f t="shared" si="26"/>
        <v>3393805</v>
      </c>
      <c r="E135" s="7"/>
      <c r="F135" s="7">
        <f t="shared" si="27"/>
        <v>6138719</v>
      </c>
      <c r="G135" s="21">
        <v>0</v>
      </c>
      <c r="H135" s="21">
        <f t="shared" si="28"/>
        <v>6.4032987850701564E-3</v>
      </c>
      <c r="I135" s="21">
        <f t="shared" si="29"/>
        <v>6.4032987850701564E-3</v>
      </c>
      <c r="J135" s="21"/>
      <c r="K135" s="32">
        <v>2390829</v>
      </c>
      <c r="L135" s="82">
        <v>312157</v>
      </c>
      <c r="M135" s="32">
        <v>395898</v>
      </c>
      <c r="N135" s="32">
        <v>3098884</v>
      </c>
      <c r="O135" s="23">
        <v>0</v>
      </c>
      <c r="P135" s="23">
        <v>6.3842072163380927E-3</v>
      </c>
      <c r="Q135" s="23">
        <v>6.3842072163380927E-3</v>
      </c>
    </row>
    <row r="136" spans="1:17" x14ac:dyDescent="0.35">
      <c r="A136" s="25" t="str">
        <f>'Allocation schedule Non'!C97</f>
        <v>Morgan County Schools</v>
      </c>
      <c r="B136" s="7">
        <f>'2017 Prop share of contribs'!BT93</f>
        <v>891298</v>
      </c>
      <c r="C136" s="7">
        <f t="shared" si="25"/>
        <v>116637</v>
      </c>
      <c r="D136" s="7">
        <f t="shared" si="26"/>
        <v>1246208</v>
      </c>
      <c r="E136" s="7"/>
      <c r="F136" s="7">
        <f t="shared" si="27"/>
        <v>2254143</v>
      </c>
      <c r="G136" s="21">
        <v>0</v>
      </c>
      <c r="H136" s="21">
        <f t="shared" si="28"/>
        <v>2.3512969290945549E-3</v>
      </c>
      <c r="I136" s="21">
        <f t="shared" si="29"/>
        <v>2.3512969290945549E-3</v>
      </c>
      <c r="J136" s="21"/>
      <c r="K136" s="32">
        <v>885304</v>
      </c>
      <c r="L136" s="82">
        <v>115589</v>
      </c>
      <c r="M136" s="32">
        <v>146598</v>
      </c>
      <c r="N136" s="32">
        <v>1147491</v>
      </c>
      <c r="O136" s="23">
        <v>0</v>
      </c>
      <c r="P136" s="23">
        <v>2.3640188928927362E-3</v>
      </c>
      <c r="Q136" s="23">
        <v>2.3640188928927362E-3</v>
      </c>
    </row>
    <row r="137" spans="1:17" x14ac:dyDescent="0.35">
      <c r="A137" s="25" t="str">
        <f>'Allocation schedule Non'!C98</f>
        <v>Muhlenberg County Schools</v>
      </c>
      <c r="B137" s="7">
        <f>'2017 Prop share of contribs'!BT94</f>
        <v>2297334</v>
      </c>
      <c r="C137" s="7">
        <f t="shared" si="25"/>
        <v>300634</v>
      </c>
      <c r="D137" s="7">
        <f t="shared" si="26"/>
        <v>3212121</v>
      </c>
      <c r="E137" s="7"/>
      <c r="F137" s="7">
        <f t="shared" si="27"/>
        <v>5810089</v>
      </c>
      <c r="G137" s="21">
        <v>0</v>
      </c>
      <c r="H137" s="21">
        <f t="shared" si="28"/>
        <v>6.0605047787412134E-3</v>
      </c>
      <c r="I137" s="21">
        <f t="shared" si="29"/>
        <v>6.0605047787412134E-3</v>
      </c>
      <c r="J137" s="21"/>
      <c r="K137" s="32">
        <v>2232351</v>
      </c>
      <c r="L137" s="82">
        <v>291466</v>
      </c>
      <c r="M137" s="32">
        <v>369656</v>
      </c>
      <c r="N137" s="32">
        <v>2893473</v>
      </c>
      <c r="O137" s="23">
        <v>0</v>
      </c>
      <c r="P137" s="23">
        <v>5.9610270041987471E-3</v>
      </c>
      <c r="Q137" s="23">
        <v>5.9610270041987471E-3</v>
      </c>
    </row>
    <row r="138" spans="1:17" x14ac:dyDescent="0.35">
      <c r="A138" s="25" t="str">
        <f>'Allocation schedule Non'!C99</f>
        <v>Nelson County Schools</v>
      </c>
      <c r="B138" s="7">
        <f>'2017 Prop share of contribs'!BT95</f>
        <v>2369755</v>
      </c>
      <c r="C138" s="7">
        <f t="shared" si="25"/>
        <v>310111</v>
      </c>
      <c r="D138" s="7">
        <f t="shared" si="26"/>
        <v>3313380</v>
      </c>
      <c r="E138" s="7"/>
      <c r="F138" s="7">
        <f t="shared" si="27"/>
        <v>5993246</v>
      </c>
      <c r="G138" s="21">
        <v>0</v>
      </c>
      <c r="H138" s="21">
        <f t="shared" si="28"/>
        <v>6.2515558751632993E-3</v>
      </c>
      <c r="I138" s="21">
        <f t="shared" si="29"/>
        <v>6.2515558751632993E-3</v>
      </c>
      <c r="J138" s="21"/>
      <c r="K138" s="32">
        <v>2319596</v>
      </c>
      <c r="L138" s="82">
        <v>302857</v>
      </c>
      <c r="M138" s="32">
        <v>384103</v>
      </c>
      <c r="N138" s="32">
        <v>3006556</v>
      </c>
      <c r="O138" s="23">
        <v>0</v>
      </c>
      <c r="P138" s="23">
        <v>6.1939964553447595E-3</v>
      </c>
      <c r="Q138" s="23">
        <v>6.1939964553447595E-3</v>
      </c>
    </row>
    <row r="139" spans="1:17" x14ac:dyDescent="0.35">
      <c r="A139" s="25" t="str">
        <f>'Allocation schedule Non'!C100</f>
        <v>Nicholas County Schools</v>
      </c>
      <c r="B139" s="7">
        <f>'2017 Prop share of contribs'!BT96</f>
        <v>511517</v>
      </c>
      <c r="C139" s="7">
        <f t="shared" si="25"/>
        <v>66938</v>
      </c>
      <c r="D139" s="7">
        <f t="shared" si="26"/>
        <v>715201</v>
      </c>
      <c r="E139" s="7"/>
      <c r="F139" s="7">
        <f t="shared" si="27"/>
        <v>1293656</v>
      </c>
      <c r="G139" s="21">
        <v>0</v>
      </c>
      <c r="H139" s="21">
        <f t="shared" si="28"/>
        <v>1.3494127835300359E-3</v>
      </c>
      <c r="I139" s="21">
        <f t="shared" si="29"/>
        <v>1.3494127835300359E-3</v>
      </c>
      <c r="J139" s="21"/>
      <c r="K139" s="32">
        <v>528978</v>
      </c>
      <c r="L139" s="82">
        <v>69066</v>
      </c>
      <c r="M139" s="32">
        <v>87594</v>
      </c>
      <c r="N139" s="32">
        <v>685638</v>
      </c>
      <c r="O139" s="23">
        <v>0</v>
      </c>
      <c r="P139" s="23">
        <v>1.4125262731343338E-3</v>
      </c>
      <c r="Q139" s="23">
        <v>1.4125262731343338E-3</v>
      </c>
    </row>
    <row r="140" spans="1:17" x14ac:dyDescent="0.35">
      <c r="A140" s="25" t="str">
        <f>'Allocation schedule Non'!C101</f>
        <v>Ohio County Schools</v>
      </c>
      <c r="B140" s="7">
        <f>'2017 Prop share of contribs'!BT97</f>
        <v>1936653</v>
      </c>
      <c r="C140" s="7">
        <f t="shared" si="25"/>
        <v>253434</v>
      </c>
      <c r="D140" s="7">
        <f t="shared" si="26"/>
        <v>2707819</v>
      </c>
      <c r="E140" s="7"/>
      <c r="F140" s="7">
        <f t="shared" si="27"/>
        <v>4897906</v>
      </c>
      <c r="G140" s="21">
        <v>0</v>
      </c>
      <c r="H140" s="21">
        <f t="shared" si="28"/>
        <v>5.1090065434153007E-3</v>
      </c>
      <c r="I140" s="21">
        <f t="shared" si="29"/>
        <v>5.1090065434153007E-3</v>
      </c>
      <c r="J140" s="21"/>
      <c r="K140" s="32">
        <v>1905660</v>
      </c>
      <c r="L140" s="82">
        <v>248811</v>
      </c>
      <c r="M140" s="32">
        <v>315559</v>
      </c>
      <c r="N140" s="32">
        <v>2470030</v>
      </c>
      <c r="O140" s="23">
        <v>0</v>
      </c>
      <c r="P140" s="23">
        <v>5.0886652583870765E-3</v>
      </c>
      <c r="Q140" s="23">
        <v>5.0886652583870765E-3</v>
      </c>
    </row>
    <row r="141" spans="1:17" x14ac:dyDescent="0.35">
      <c r="A141" s="25" t="str">
        <f>'Allocation schedule Non'!C102</f>
        <v>Oldham County Schools</v>
      </c>
      <c r="B141" s="7">
        <f>'2017 Prop share of contribs'!BT98</f>
        <v>6531323</v>
      </c>
      <c r="C141" s="7">
        <f t="shared" si="25"/>
        <v>854703</v>
      </c>
      <c r="D141" s="7">
        <f t="shared" si="26"/>
        <v>9132063</v>
      </c>
      <c r="E141" s="7"/>
      <c r="F141" s="7">
        <f t="shared" si="27"/>
        <v>16518089</v>
      </c>
      <c r="G141" s="21">
        <v>0</v>
      </c>
      <c r="H141" s="21">
        <f t="shared" si="28"/>
        <v>1.7230021316398537E-2</v>
      </c>
      <c r="I141" s="21">
        <f t="shared" si="29"/>
        <v>1.7230021316398537E-2</v>
      </c>
      <c r="J141" s="21"/>
      <c r="K141" s="32">
        <v>6430542</v>
      </c>
      <c r="L141" s="82">
        <v>839600</v>
      </c>
      <c r="M141" s="32">
        <v>1064836</v>
      </c>
      <c r="N141" s="32">
        <v>8334978</v>
      </c>
      <c r="O141" s="23">
        <v>0</v>
      </c>
      <c r="P141" s="23">
        <v>1.7171416127747679E-2</v>
      </c>
      <c r="Q141" s="23">
        <v>1.7171416127747679E-2</v>
      </c>
    </row>
    <row r="142" spans="1:17" x14ac:dyDescent="0.35">
      <c r="A142" s="25" t="str">
        <f>'Allocation schedule Non'!C103</f>
        <v>Owen County Schools</v>
      </c>
      <c r="B142" s="7">
        <f>'2017 Prop share of contribs'!BT99</f>
        <v>850760</v>
      </c>
      <c r="C142" s="7">
        <f t="shared" si="25"/>
        <v>111332</v>
      </c>
      <c r="D142" s="7">
        <f t="shared" si="26"/>
        <v>1189528</v>
      </c>
      <c r="E142" s="7"/>
      <c r="F142" s="7">
        <f t="shared" si="27"/>
        <v>2151620</v>
      </c>
      <c r="G142" s="21">
        <v>0</v>
      </c>
      <c r="H142" s="21">
        <f t="shared" si="28"/>
        <v>2.2443551711574762E-3</v>
      </c>
      <c r="I142" s="21">
        <f t="shared" si="29"/>
        <v>2.2443551711574762E-3</v>
      </c>
      <c r="J142" s="21"/>
      <c r="K142" s="32">
        <v>846379</v>
      </c>
      <c r="L142" s="82">
        <v>110507</v>
      </c>
      <c r="M142" s="32">
        <v>140152</v>
      </c>
      <c r="N142" s="32">
        <v>1097038</v>
      </c>
      <c r="O142" s="23">
        <v>0</v>
      </c>
      <c r="P142" s="23">
        <v>2.2600774718244078E-3</v>
      </c>
      <c r="Q142" s="23">
        <v>2.2600774718244078E-3</v>
      </c>
    </row>
    <row r="143" spans="1:17" x14ac:dyDescent="0.35">
      <c r="A143" s="25" t="str">
        <f>'Allocation schedule Non'!C104</f>
        <v>Owsley County Schools</v>
      </c>
      <c r="B143" s="7">
        <f>'2017 Prop share of contribs'!BT100</f>
        <v>336522</v>
      </c>
      <c r="C143" s="7">
        <f t="shared" si="25"/>
        <v>44038</v>
      </c>
      <c r="D143" s="7">
        <f t="shared" si="26"/>
        <v>470523</v>
      </c>
      <c r="E143" s="7"/>
      <c r="F143" s="7">
        <f t="shared" si="27"/>
        <v>851083</v>
      </c>
      <c r="G143" s="21">
        <v>0</v>
      </c>
      <c r="H143" s="21">
        <f t="shared" si="28"/>
        <v>8.8776481541081524E-4</v>
      </c>
      <c r="I143" s="21">
        <f t="shared" si="29"/>
        <v>8.8776481541081524E-4</v>
      </c>
      <c r="J143" s="21"/>
      <c r="K143" s="32">
        <v>365669</v>
      </c>
      <c r="L143" s="82">
        <v>47743</v>
      </c>
      <c r="M143" s="32">
        <v>60551</v>
      </c>
      <c r="N143" s="32">
        <v>473963</v>
      </c>
      <c r="O143" s="23">
        <v>0</v>
      </c>
      <c r="P143" s="23">
        <v>9.7644119782387836E-4</v>
      </c>
      <c r="Q143" s="23">
        <v>9.7644119782387836E-4</v>
      </c>
    </row>
    <row r="144" spans="1:17" x14ac:dyDescent="0.35">
      <c r="A144" s="25" t="str">
        <f>'Allocation schedule Non'!C105</f>
        <v>Pendleton County Schools</v>
      </c>
      <c r="B144" s="7">
        <f>'2017 Prop share of contribs'!BT101</f>
        <v>1118126</v>
      </c>
      <c r="C144" s="7">
        <f t="shared" si="25"/>
        <v>146320</v>
      </c>
      <c r="D144" s="7">
        <f t="shared" si="26"/>
        <v>1563358</v>
      </c>
      <c r="E144" s="7"/>
      <c r="F144" s="7">
        <f t="shared" si="27"/>
        <v>2827804</v>
      </c>
      <c r="G144" s="21">
        <v>0</v>
      </c>
      <c r="H144" s="21">
        <f t="shared" si="28"/>
        <v>2.9496828112862846E-3</v>
      </c>
      <c r="I144" s="21">
        <f t="shared" si="29"/>
        <v>2.9496828112862846E-3</v>
      </c>
      <c r="J144" s="21"/>
      <c r="K144" s="32">
        <v>1154506</v>
      </c>
      <c r="L144" s="82">
        <v>150737</v>
      </c>
      <c r="M144" s="32">
        <v>191175</v>
      </c>
      <c r="N144" s="32">
        <v>1496418</v>
      </c>
      <c r="O144" s="23">
        <v>0</v>
      </c>
      <c r="P144" s="23">
        <v>3.0828655071497403E-3</v>
      </c>
      <c r="Q144" s="23">
        <v>3.0828655071497403E-3</v>
      </c>
    </row>
    <row r="145" spans="1:17" x14ac:dyDescent="0.35">
      <c r="A145" s="25" t="str">
        <f>'Allocation schedule Non'!C106</f>
        <v>Perry County Schools</v>
      </c>
      <c r="B145" s="7">
        <f>'2017 Prop share of contribs'!BT102</f>
        <v>1898883</v>
      </c>
      <c r="C145" s="7">
        <f t="shared" ref="C145:C176" si="30">ROUND(B145/$B$230*$D$245,0)</f>
        <v>248492</v>
      </c>
      <c r="D145" s="7">
        <f t="shared" si="26"/>
        <v>2655009</v>
      </c>
      <c r="E145" s="7"/>
      <c r="F145" s="7">
        <f t="shared" ref="F145:F176" si="31">B145+C145+D145</f>
        <v>4802384</v>
      </c>
      <c r="G145" s="21">
        <v>0</v>
      </c>
      <c r="H145" s="21">
        <f t="shared" ref="H145:H176" si="32">F145/($B$234+$D$234+$C$234)</f>
        <v>5.00936752971432E-3</v>
      </c>
      <c r="I145" s="21">
        <f t="shared" si="29"/>
        <v>5.00936752971432E-3</v>
      </c>
      <c r="J145" s="21"/>
      <c r="K145" s="32">
        <v>1920217</v>
      </c>
      <c r="L145" s="82">
        <v>250712</v>
      </c>
      <c r="M145" s="32">
        <v>317969</v>
      </c>
      <c r="N145" s="32">
        <v>2488898</v>
      </c>
      <c r="O145" s="23">
        <v>0</v>
      </c>
      <c r="P145" s="23">
        <v>5.12753642031436E-3</v>
      </c>
      <c r="Q145" s="23">
        <v>5.12753642031436E-3</v>
      </c>
    </row>
    <row r="146" spans="1:17" x14ac:dyDescent="0.35">
      <c r="A146" s="25" t="str">
        <f>'Allocation schedule Non'!C107</f>
        <v>Pike County Schools</v>
      </c>
      <c r="B146" s="7">
        <f>'2017 Prop share of contribs'!BT103</f>
        <v>4390276</v>
      </c>
      <c r="C146" s="7">
        <f t="shared" si="30"/>
        <v>574521</v>
      </c>
      <c r="D146" s="7">
        <f t="shared" si="26"/>
        <v>6138462</v>
      </c>
      <c r="E146" s="7"/>
      <c r="F146" s="7">
        <f t="shared" si="31"/>
        <v>11103259</v>
      </c>
      <c r="G146" s="21">
        <v>0</v>
      </c>
      <c r="H146" s="21">
        <f t="shared" si="32"/>
        <v>1.1581811264698594E-2</v>
      </c>
      <c r="I146" s="21">
        <f t="shared" si="29"/>
        <v>1.1581811264698594E-2</v>
      </c>
      <c r="J146" s="21"/>
      <c r="K146" s="32">
        <v>4489624</v>
      </c>
      <c r="L146" s="82">
        <v>586185</v>
      </c>
      <c r="M146" s="32">
        <v>743438</v>
      </c>
      <c r="N146" s="32">
        <v>5819247</v>
      </c>
      <c r="O146" s="23">
        <v>0</v>
      </c>
      <c r="P146" s="23">
        <v>1.1988599344491048E-2</v>
      </c>
      <c r="Q146" s="23">
        <v>1.1988599344491048E-2</v>
      </c>
    </row>
    <row r="147" spans="1:17" x14ac:dyDescent="0.35">
      <c r="A147" s="25" t="str">
        <f>'Allocation schedule Non'!C108</f>
        <v>Powell County Schools</v>
      </c>
      <c r="B147" s="7">
        <f>'2017 Prop share of contribs'!BT104</f>
        <v>1158077</v>
      </c>
      <c r="C147" s="7">
        <f t="shared" si="30"/>
        <v>151548</v>
      </c>
      <c r="D147" s="7">
        <f t="shared" si="26"/>
        <v>1619217</v>
      </c>
      <c r="E147" s="7"/>
      <c r="F147" s="7">
        <f t="shared" si="31"/>
        <v>2928842</v>
      </c>
      <c r="G147" s="21">
        <v>0</v>
      </c>
      <c r="H147" s="21">
        <f t="shared" si="32"/>
        <v>3.0550755654823827E-3</v>
      </c>
      <c r="I147" s="21">
        <f t="shared" si="29"/>
        <v>3.0550755654823827E-3</v>
      </c>
      <c r="J147" s="21"/>
      <c r="K147" s="32">
        <v>1144043</v>
      </c>
      <c r="L147" s="82">
        <v>149371</v>
      </c>
      <c r="M147" s="32">
        <v>189442</v>
      </c>
      <c r="N147" s="32">
        <v>1482856</v>
      </c>
      <c r="O147" s="23">
        <v>0</v>
      </c>
      <c r="P147" s="23">
        <v>3.0549255719124172E-3</v>
      </c>
      <c r="Q147" s="23">
        <v>3.0549255719124172E-3</v>
      </c>
    </row>
    <row r="148" spans="1:17" x14ac:dyDescent="0.35">
      <c r="A148" s="25" t="str">
        <f>'Allocation schedule Non'!C109</f>
        <v>Pulaski County Schools</v>
      </c>
      <c r="B148" s="7">
        <f>'2017 Prop share of contribs'!BT105</f>
        <v>3871410</v>
      </c>
      <c r="C148" s="7">
        <f t="shared" si="30"/>
        <v>506621</v>
      </c>
      <c r="D148" s="7">
        <f t="shared" si="26"/>
        <v>5412986</v>
      </c>
      <c r="E148" s="7"/>
      <c r="F148" s="7">
        <f t="shared" si="31"/>
        <v>9791017</v>
      </c>
      <c r="G148" s="21">
        <v>0</v>
      </c>
      <c r="H148" s="21">
        <f t="shared" si="32"/>
        <v>1.0213011421552485E-2</v>
      </c>
      <c r="I148" s="21">
        <f t="shared" si="29"/>
        <v>1.0213011421552485E-2</v>
      </c>
      <c r="J148" s="21"/>
      <c r="K148" s="32">
        <v>3849996</v>
      </c>
      <c r="L148" s="82">
        <v>502672</v>
      </c>
      <c r="M148" s="32">
        <v>637522</v>
      </c>
      <c r="N148" s="32">
        <v>4990190</v>
      </c>
      <c r="O148" s="23">
        <v>0</v>
      </c>
      <c r="P148" s="23">
        <v>1.028060650508318E-2</v>
      </c>
      <c r="Q148" s="23">
        <v>1.028060650508318E-2</v>
      </c>
    </row>
    <row r="149" spans="1:17" x14ac:dyDescent="0.35">
      <c r="A149" s="25" t="str">
        <f>'Allocation schedule Non'!C110</f>
        <v>Robertson County Schools</v>
      </c>
      <c r="B149" s="7">
        <f>'2017 Prop share of contribs'!BT106</f>
        <v>183303</v>
      </c>
      <c r="C149" s="7">
        <f t="shared" si="30"/>
        <v>23987</v>
      </c>
      <c r="D149" s="7">
        <f t="shared" si="26"/>
        <v>256293</v>
      </c>
      <c r="E149" s="7"/>
      <c r="F149" s="7">
        <f t="shared" si="31"/>
        <v>463583</v>
      </c>
      <c r="G149" s="21">
        <v>0</v>
      </c>
      <c r="H149" s="21">
        <f t="shared" si="32"/>
        <v>4.8356350252865108E-4</v>
      </c>
      <c r="I149" s="21">
        <f t="shared" si="29"/>
        <v>4.8356350252865108E-4</v>
      </c>
      <c r="J149" s="21"/>
      <c r="K149" s="32">
        <v>176199</v>
      </c>
      <c r="L149" s="82">
        <v>23005</v>
      </c>
      <c r="M149" s="32">
        <v>29177</v>
      </c>
      <c r="N149" s="32">
        <v>228381</v>
      </c>
      <c r="O149" s="23">
        <v>0</v>
      </c>
      <c r="P149" s="23">
        <v>4.7050216409343169E-4</v>
      </c>
      <c r="Q149" s="23">
        <v>4.7050216409343169E-4</v>
      </c>
    </row>
    <row r="150" spans="1:17" x14ac:dyDescent="0.35">
      <c r="A150" s="25" t="str">
        <f>'Allocation schedule Non'!C111</f>
        <v>Rockcastle County Schools</v>
      </c>
      <c r="B150" s="7">
        <f>'2017 Prop share of contribs'!BT107</f>
        <v>1488325</v>
      </c>
      <c r="C150" s="7">
        <f t="shared" si="30"/>
        <v>194765</v>
      </c>
      <c r="D150" s="7">
        <f t="shared" si="26"/>
        <v>2080969</v>
      </c>
      <c r="E150" s="7"/>
      <c r="F150" s="7">
        <f t="shared" si="31"/>
        <v>3764059</v>
      </c>
      <c r="G150" s="21">
        <v>0</v>
      </c>
      <c r="H150" s="21">
        <f t="shared" si="32"/>
        <v>3.9262905537185179E-3</v>
      </c>
      <c r="I150" s="21">
        <f t="shared" si="29"/>
        <v>3.9262905537185179E-3</v>
      </c>
      <c r="J150" s="21"/>
      <c r="K150" s="32">
        <v>1479331</v>
      </c>
      <c r="L150" s="82">
        <v>193148</v>
      </c>
      <c r="M150" s="32">
        <v>244963</v>
      </c>
      <c r="N150" s="32">
        <v>1917442</v>
      </c>
      <c r="O150" s="23">
        <v>0</v>
      </c>
      <c r="P150" s="23">
        <v>3.9502437178383391E-3</v>
      </c>
      <c r="Q150" s="23">
        <v>3.9502437178383391E-3</v>
      </c>
    </row>
    <row r="151" spans="1:17" x14ac:dyDescent="0.35">
      <c r="A151" s="25" t="str">
        <f>'Allocation schedule Non'!C112</f>
        <v>Rowan County Schools</v>
      </c>
      <c r="B151" s="7">
        <f>'2017 Prop share of contribs'!BT108</f>
        <v>1472790</v>
      </c>
      <c r="C151" s="7">
        <f t="shared" si="30"/>
        <v>192732</v>
      </c>
      <c r="D151" s="7">
        <f t="shared" si="26"/>
        <v>2059248</v>
      </c>
      <c r="E151" s="7"/>
      <c r="F151" s="7">
        <f t="shared" si="31"/>
        <v>3724770</v>
      </c>
      <c r="G151" s="21">
        <v>0</v>
      </c>
      <c r="H151" s="21">
        <f t="shared" si="32"/>
        <v>3.8853081914428348E-3</v>
      </c>
      <c r="I151" s="21">
        <f t="shared" si="29"/>
        <v>3.8853081914428348E-3</v>
      </c>
      <c r="J151" s="21"/>
      <c r="K151" s="32">
        <v>1443979</v>
      </c>
      <c r="L151" s="82">
        <v>188532</v>
      </c>
      <c r="M151" s="32">
        <v>239109</v>
      </c>
      <c r="N151" s="32">
        <v>1871620</v>
      </c>
      <c r="O151" s="23">
        <v>0</v>
      </c>
      <c r="P151" s="23">
        <v>3.8558429132044634E-3</v>
      </c>
      <c r="Q151" s="23">
        <v>3.8558429132044634E-3</v>
      </c>
    </row>
    <row r="152" spans="1:17" x14ac:dyDescent="0.35">
      <c r="A152" s="25" t="str">
        <f>'Allocation schedule Non'!C113</f>
        <v>Russell County Schools</v>
      </c>
      <c r="B152" s="7">
        <f>'2017 Prop share of contribs'!BT109</f>
        <v>1525459</v>
      </c>
      <c r="C152" s="7">
        <f t="shared" si="30"/>
        <v>199625</v>
      </c>
      <c r="D152" s="7">
        <f t="shared" si="26"/>
        <v>2132889</v>
      </c>
      <c r="E152" s="7"/>
      <c r="F152" s="7">
        <f t="shared" si="31"/>
        <v>3857973</v>
      </c>
      <c r="G152" s="21">
        <v>0</v>
      </c>
      <c r="H152" s="21">
        <f t="shared" si="32"/>
        <v>4.0242522623585584E-3</v>
      </c>
      <c r="I152" s="21">
        <f t="shared" si="29"/>
        <v>4.0242522623585584E-3</v>
      </c>
      <c r="J152" s="21"/>
      <c r="K152" s="32">
        <v>1472099</v>
      </c>
      <c r="L152" s="82">
        <v>192204</v>
      </c>
      <c r="M152" s="32">
        <v>243765</v>
      </c>
      <c r="N152" s="32">
        <v>1908068</v>
      </c>
      <c r="O152" s="23">
        <v>0</v>
      </c>
      <c r="P152" s="23">
        <v>3.9309317466751873E-3</v>
      </c>
      <c r="Q152" s="23">
        <v>3.9309317466751873E-3</v>
      </c>
    </row>
    <row r="153" spans="1:17" x14ac:dyDescent="0.35">
      <c r="A153" s="25" t="str">
        <f>'Allocation schedule Non'!C114</f>
        <v>Scott County Schools</v>
      </c>
      <c r="B153" s="7">
        <f>'2017 Prop share of contribs'!BT110</f>
        <v>4404458</v>
      </c>
      <c r="C153" s="7">
        <f t="shared" si="30"/>
        <v>576377</v>
      </c>
      <c r="D153" s="7">
        <f t="shared" si="26"/>
        <v>6158291</v>
      </c>
      <c r="E153" s="7"/>
      <c r="F153" s="7">
        <f t="shared" si="31"/>
        <v>11139126</v>
      </c>
      <c r="G153" s="21">
        <v>0</v>
      </c>
      <c r="H153" s="21">
        <f t="shared" si="32"/>
        <v>1.1619224138218967E-2</v>
      </c>
      <c r="I153" s="21">
        <f t="shared" si="29"/>
        <v>1.1619224138218967E-2</v>
      </c>
      <c r="J153" s="21"/>
      <c r="K153" s="32">
        <v>4307729</v>
      </c>
      <c r="L153" s="82">
        <v>562436</v>
      </c>
      <c r="M153" s="32">
        <v>713318</v>
      </c>
      <c r="N153" s="32">
        <v>5583483</v>
      </c>
      <c r="O153" s="23">
        <v>0</v>
      </c>
      <c r="P153" s="23">
        <v>1.1502886994447376E-2</v>
      </c>
      <c r="Q153" s="23">
        <v>1.1502886994447376E-2</v>
      </c>
    </row>
    <row r="154" spans="1:17" x14ac:dyDescent="0.35">
      <c r="A154" s="25" t="str">
        <f>'Allocation schedule Non'!C115</f>
        <v>Shelby County Schools</v>
      </c>
      <c r="B154" s="7">
        <f>'2017 Prop share of contribs'!BT111</f>
        <v>3941714</v>
      </c>
      <c r="C154" s="7">
        <f t="shared" si="30"/>
        <v>515821</v>
      </c>
      <c r="D154" s="7">
        <f t="shared" si="26"/>
        <v>5511285</v>
      </c>
      <c r="E154" s="7"/>
      <c r="F154" s="7">
        <f t="shared" si="31"/>
        <v>9968820</v>
      </c>
      <c r="G154" s="21">
        <v>0</v>
      </c>
      <c r="H154" s="21">
        <f t="shared" si="32"/>
        <v>1.0398477759705742E-2</v>
      </c>
      <c r="I154" s="21">
        <f t="shared" si="29"/>
        <v>1.0398477759705742E-2</v>
      </c>
      <c r="J154" s="21"/>
      <c r="K154" s="32">
        <v>3979320</v>
      </c>
      <c r="L154" s="82">
        <v>519558</v>
      </c>
      <c r="M154" s="32">
        <v>658937</v>
      </c>
      <c r="N154" s="32">
        <v>5157815</v>
      </c>
      <c r="O154" s="23">
        <v>0</v>
      </c>
      <c r="P154" s="23">
        <v>1.0625941385200885E-2</v>
      </c>
      <c r="Q154" s="23">
        <v>1.0625941385200885E-2</v>
      </c>
    </row>
    <row r="155" spans="1:17" x14ac:dyDescent="0.35">
      <c r="A155" s="25" t="str">
        <f>'Allocation schedule Non'!C116</f>
        <v>Simpson County Schools</v>
      </c>
      <c r="B155" s="7">
        <f>'2017 Prop share of contribs'!BT112</f>
        <v>1526841</v>
      </c>
      <c r="C155" s="7">
        <f t="shared" si="30"/>
        <v>199806</v>
      </c>
      <c r="D155" s="7">
        <f t="shared" si="26"/>
        <v>2134821</v>
      </c>
      <c r="E155" s="7"/>
      <c r="F155" s="7">
        <f t="shared" si="31"/>
        <v>3861468</v>
      </c>
      <c r="G155" s="21">
        <v>0</v>
      </c>
      <c r="H155" s="21">
        <f t="shared" si="32"/>
        <v>4.0278978974257152E-3</v>
      </c>
      <c r="I155" s="21">
        <f t="shared" si="29"/>
        <v>4.0278978974257152E-3</v>
      </c>
      <c r="J155" s="21"/>
      <c r="K155" s="32">
        <v>1509835</v>
      </c>
      <c r="L155" s="82">
        <v>197131</v>
      </c>
      <c r="M155" s="32">
        <v>250014</v>
      </c>
      <c r="N155" s="32">
        <v>1956980</v>
      </c>
      <c r="O155" s="23">
        <v>0</v>
      </c>
      <c r="P155" s="23">
        <v>4.0316984560342757E-3</v>
      </c>
      <c r="Q155" s="23">
        <v>4.0316984560342757E-3</v>
      </c>
    </row>
    <row r="156" spans="1:17" x14ac:dyDescent="0.35">
      <c r="A156" s="25" t="str">
        <f>'Allocation schedule Non'!C117</f>
        <v>Spencer County Schools</v>
      </c>
      <c r="B156" s="7">
        <f>'2017 Prop share of contribs'!BT113</f>
        <v>1417990</v>
      </c>
      <c r="C156" s="7">
        <f t="shared" si="30"/>
        <v>185561</v>
      </c>
      <c r="D156" s="7">
        <f t="shared" si="26"/>
        <v>1982627</v>
      </c>
      <c r="E156" s="7"/>
      <c r="F156" s="7">
        <f t="shared" si="31"/>
        <v>3586178</v>
      </c>
      <c r="G156" s="21">
        <v>0</v>
      </c>
      <c r="H156" s="21">
        <f t="shared" si="32"/>
        <v>3.7407428537526029E-3</v>
      </c>
      <c r="I156" s="21">
        <f t="shared" si="29"/>
        <v>3.7407428537526029E-3</v>
      </c>
      <c r="J156" s="21"/>
      <c r="K156" s="32">
        <v>1380492</v>
      </c>
      <c r="L156" s="82">
        <v>180243</v>
      </c>
      <c r="M156" s="32">
        <v>228596</v>
      </c>
      <c r="N156" s="32">
        <v>1789331</v>
      </c>
      <c r="O156" s="23">
        <v>0</v>
      </c>
      <c r="P156" s="23">
        <v>3.6863141319963752E-3</v>
      </c>
      <c r="Q156" s="23">
        <v>3.6863141319963752E-3</v>
      </c>
    </row>
    <row r="157" spans="1:17" x14ac:dyDescent="0.35">
      <c r="A157" s="25" t="str">
        <f>'Allocation schedule Non'!C118</f>
        <v>Taylor County Schools</v>
      </c>
      <c r="B157" s="7">
        <f>'2017 Prop share of contribs'!BT114</f>
        <v>1301716</v>
      </c>
      <c r="C157" s="7">
        <f t="shared" si="30"/>
        <v>170345</v>
      </c>
      <c r="D157" s="7">
        <f t="shared" si="26"/>
        <v>1820053</v>
      </c>
      <c r="E157" s="7"/>
      <c r="F157" s="7">
        <f t="shared" si="31"/>
        <v>3292114</v>
      </c>
      <c r="G157" s="21">
        <v>0</v>
      </c>
      <c r="H157" s="21">
        <f t="shared" si="32"/>
        <v>3.4340046476329105E-3</v>
      </c>
      <c r="I157" s="21">
        <f t="shared" si="29"/>
        <v>3.4340046476329105E-3</v>
      </c>
      <c r="J157" s="21"/>
      <c r="K157" s="32">
        <v>1285560</v>
      </c>
      <c r="L157" s="82">
        <v>167848</v>
      </c>
      <c r="M157" s="32">
        <v>212876</v>
      </c>
      <c r="N157" s="32">
        <v>1666284</v>
      </c>
      <c r="O157" s="23">
        <v>0</v>
      </c>
      <c r="P157" s="23">
        <v>3.43281721331573E-3</v>
      </c>
      <c r="Q157" s="23">
        <v>3.43281721331573E-3</v>
      </c>
    </row>
    <row r="158" spans="1:17" x14ac:dyDescent="0.35">
      <c r="A158" s="25" t="str">
        <f>'Allocation schedule Non'!C119</f>
        <v>Todd County Schools</v>
      </c>
      <c r="B158" s="7">
        <f>'2017 Prop share of contribs'!BT115</f>
        <v>890922</v>
      </c>
      <c r="C158" s="7">
        <f t="shared" si="30"/>
        <v>116588</v>
      </c>
      <c r="D158" s="7">
        <f t="shared" si="26"/>
        <v>1245683</v>
      </c>
      <c r="E158" s="7"/>
      <c r="F158" s="7">
        <f t="shared" si="31"/>
        <v>2253193</v>
      </c>
      <c r="G158" s="21">
        <v>0</v>
      </c>
      <c r="H158" s="21">
        <f t="shared" si="32"/>
        <v>2.3503059839403923E-3</v>
      </c>
      <c r="I158" s="21">
        <f t="shared" si="29"/>
        <v>2.3503059839403923E-3</v>
      </c>
      <c r="J158" s="21"/>
      <c r="K158" s="32">
        <v>911194</v>
      </c>
      <c r="L158" s="82">
        <v>118969</v>
      </c>
      <c r="M158" s="32">
        <v>150885</v>
      </c>
      <c r="N158" s="32">
        <v>1181048</v>
      </c>
      <c r="O158" s="23">
        <v>0</v>
      </c>
      <c r="P158" s="23">
        <v>2.4331517941432049E-3</v>
      </c>
      <c r="Q158" s="23">
        <v>2.4331517941432049E-3</v>
      </c>
    </row>
    <row r="159" spans="1:17" x14ac:dyDescent="0.35">
      <c r="A159" s="25" t="str">
        <f>'Allocation schedule Non'!C120</f>
        <v>Trigg County Schools</v>
      </c>
      <c r="B159" s="7">
        <f>'2017 Prop share of contribs'!BT116</f>
        <v>1096123</v>
      </c>
      <c r="C159" s="7">
        <f t="shared" si="30"/>
        <v>143441</v>
      </c>
      <c r="D159" s="7">
        <f t="shared" si="26"/>
        <v>1532594</v>
      </c>
      <c r="E159" s="7"/>
      <c r="F159" s="7">
        <f t="shared" si="31"/>
        <v>2772158</v>
      </c>
      <c r="G159" s="21">
        <v>0</v>
      </c>
      <c r="H159" s="21">
        <f t="shared" si="32"/>
        <v>2.8916384596562434E-3</v>
      </c>
      <c r="I159" s="21">
        <f t="shared" si="29"/>
        <v>2.8916384596562434E-3</v>
      </c>
      <c r="J159" s="21"/>
      <c r="K159" s="32">
        <v>1116389</v>
      </c>
      <c r="L159" s="82">
        <v>145761</v>
      </c>
      <c r="M159" s="32">
        <v>184863</v>
      </c>
      <c r="N159" s="32">
        <v>1447013</v>
      </c>
      <c r="O159" s="23">
        <v>0</v>
      </c>
      <c r="P159" s="23">
        <v>2.981083137263296E-3</v>
      </c>
      <c r="Q159" s="23">
        <v>2.981083137263296E-3</v>
      </c>
    </row>
    <row r="160" spans="1:17" x14ac:dyDescent="0.35">
      <c r="A160" s="25" t="str">
        <f>'Allocation schedule Non'!C121</f>
        <v>Trimble County Schools</v>
      </c>
      <c r="B160" s="7">
        <f>'2017 Prop share of contribs'!BT117</f>
        <v>640209</v>
      </c>
      <c r="C160" s="7">
        <f t="shared" si="30"/>
        <v>83779</v>
      </c>
      <c r="D160" s="7">
        <f t="shared" si="26"/>
        <v>895137</v>
      </c>
      <c r="E160" s="7"/>
      <c r="F160" s="7">
        <f t="shared" si="31"/>
        <v>1619125</v>
      </c>
      <c r="G160" s="21">
        <v>0</v>
      </c>
      <c r="H160" s="21">
        <f t="shared" si="32"/>
        <v>1.6889095502460232E-3</v>
      </c>
      <c r="I160" s="21">
        <f t="shared" si="29"/>
        <v>1.6889095502460232E-3</v>
      </c>
      <c r="J160" s="21"/>
      <c r="K160" s="32">
        <v>698383</v>
      </c>
      <c r="L160" s="82">
        <v>91184</v>
      </c>
      <c r="M160" s="32">
        <v>115645</v>
      </c>
      <c r="N160" s="32">
        <v>905212</v>
      </c>
      <c r="O160" s="23">
        <v>0</v>
      </c>
      <c r="P160" s="23">
        <v>1.8648845786792398E-3</v>
      </c>
      <c r="Q160" s="23">
        <v>1.8648845786792398E-3</v>
      </c>
    </row>
    <row r="161" spans="1:17" x14ac:dyDescent="0.35">
      <c r="A161" s="25" t="str">
        <f>'Allocation schedule Non'!C122</f>
        <v>Union County Schools</v>
      </c>
      <c r="B161" s="7">
        <f>'2017 Prop share of contribs'!BT118</f>
        <v>1166443</v>
      </c>
      <c r="C161" s="7">
        <f t="shared" si="30"/>
        <v>152643</v>
      </c>
      <c r="D161" s="7">
        <f t="shared" si="26"/>
        <v>1630915</v>
      </c>
      <c r="E161" s="7"/>
      <c r="F161" s="7">
        <f t="shared" si="31"/>
        <v>2950001</v>
      </c>
      <c r="G161" s="21">
        <v>0</v>
      </c>
      <c r="H161" s="21">
        <f t="shared" si="32"/>
        <v>3.0771465218159925E-3</v>
      </c>
      <c r="I161" s="21">
        <f t="shared" si="29"/>
        <v>3.0771465218159925E-3</v>
      </c>
      <c r="J161" s="21"/>
      <c r="K161" s="32">
        <v>1180288</v>
      </c>
      <c r="L161" s="82">
        <v>154104</v>
      </c>
      <c r="M161" s="32">
        <v>195444</v>
      </c>
      <c r="N161" s="32">
        <v>1529836</v>
      </c>
      <c r="O161" s="23">
        <v>0</v>
      </c>
      <c r="P161" s="23">
        <v>3.1517120456957416E-3</v>
      </c>
      <c r="Q161" s="23">
        <v>3.1517120456957416E-3</v>
      </c>
    </row>
    <row r="162" spans="1:17" x14ac:dyDescent="0.35">
      <c r="A162" s="25" t="str">
        <f>'Allocation schedule Non'!C123</f>
        <v>Warren County Schools</v>
      </c>
      <c r="B162" s="7">
        <f>'2017 Prop share of contribs'!BT119</f>
        <v>7128657</v>
      </c>
      <c r="C162" s="7">
        <f t="shared" si="30"/>
        <v>932871</v>
      </c>
      <c r="D162" s="7">
        <f t="shared" si="26"/>
        <v>9967253</v>
      </c>
      <c r="E162" s="7"/>
      <c r="F162" s="7">
        <f t="shared" si="31"/>
        <v>18028781</v>
      </c>
      <c r="G162" s="21">
        <v>0</v>
      </c>
      <c r="H162" s="21">
        <f t="shared" si="32"/>
        <v>1.8805824386748427E-2</v>
      </c>
      <c r="I162" s="21">
        <f t="shared" si="29"/>
        <v>1.8805824386748427E-2</v>
      </c>
      <c r="J162" s="21"/>
      <c r="K162" s="32">
        <v>6939671</v>
      </c>
      <c r="L162" s="82">
        <v>906074</v>
      </c>
      <c r="M162" s="32">
        <v>1149143</v>
      </c>
      <c r="N162" s="32">
        <v>8994888</v>
      </c>
      <c r="O162" s="23">
        <v>0</v>
      </c>
      <c r="P162" s="23">
        <v>1.8530938518432089E-2</v>
      </c>
      <c r="Q162" s="23">
        <v>1.8530938518432089E-2</v>
      </c>
    </row>
    <row r="163" spans="1:17" x14ac:dyDescent="0.35">
      <c r="A163" s="25" t="str">
        <f>'Allocation schedule Non'!C124</f>
        <v>Washington County Schools</v>
      </c>
      <c r="B163" s="7">
        <f>'2017 Prop share of contribs'!BT120</f>
        <v>944586</v>
      </c>
      <c r="C163" s="7">
        <f t="shared" si="30"/>
        <v>123611</v>
      </c>
      <c r="D163" s="7">
        <f t="shared" si="26"/>
        <v>1320715</v>
      </c>
      <c r="E163" s="7"/>
      <c r="F163" s="7">
        <f t="shared" si="31"/>
        <v>2388912</v>
      </c>
      <c r="G163" s="21">
        <v>0</v>
      </c>
      <c r="H163" s="21">
        <f t="shared" si="32"/>
        <v>2.4918744948644036E-3</v>
      </c>
      <c r="I163" s="21">
        <f t="shared" si="29"/>
        <v>2.4918744948644036E-3</v>
      </c>
      <c r="J163" s="21"/>
      <c r="K163" s="32">
        <v>941385</v>
      </c>
      <c r="L163" s="82">
        <v>122911</v>
      </c>
      <c r="M163" s="32">
        <v>155884</v>
      </c>
      <c r="N163" s="32">
        <v>1220180</v>
      </c>
      <c r="O163" s="23">
        <v>0</v>
      </c>
      <c r="P163" s="23">
        <v>2.5137701060224953E-3</v>
      </c>
      <c r="Q163" s="23">
        <v>2.5137701060224953E-3</v>
      </c>
    </row>
    <row r="164" spans="1:17" x14ac:dyDescent="0.35">
      <c r="A164" s="25" t="str">
        <f>'Allocation schedule Non'!C125</f>
        <v>Wayne County Schools</v>
      </c>
      <c r="B164" s="7">
        <f>'2017 Prop share of contribs'!BT121</f>
        <v>1562483</v>
      </c>
      <c r="C164" s="7">
        <f t="shared" si="30"/>
        <v>204470</v>
      </c>
      <c r="D164" s="7">
        <f t="shared" si="26"/>
        <v>2184656</v>
      </c>
      <c r="E164" s="7"/>
      <c r="F164" s="7">
        <f t="shared" si="31"/>
        <v>3951609</v>
      </c>
      <c r="G164" s="21">
        <v>0</v>
      </c>
      <c r="H164" s="21">
        <f t="shared" si="32"/>
        <v>4.1219239891534861E-3</v>
      </c>
      <c r="I164" s="21">
        <f t="shared" si="29"/>
        <v>4.1219239891534861E-3</v>
      </c>
      <c r="J164" s="21"/>
      <c r="K164" s="32">
        <v>1574759</v>
      </c>
      <c r="L164" s="82">
        <v>205607</v>
      </c>
      <c r="M164" s="32">
        <v>260765</v>
      </c>
      <c r="N164" s="32">
        <v>2041131</v>
      </c>
      <c r="O164" s="23">
        <v>0</v>
      </c>
      <c r="P164" s="23">
        <v>4.2050632613842235E-3</v>
      </c>
      <c r="Q164" s="23">
        <v>4.2050632613842235E-3</v>
      </c>
    </row>
    <row r="165" spans="1:17" x14ac:dyDescent="0.35">
      <c r="A165" s="25" t="str">
        <f>'Allocation schedule Non'!C126</f>
        <v>Webster County Schools</v>
      </c>
      <c r="B165" s="7">
        <f>'2017 Prop share of contribs'!BT122</f>
        <v>1016302</v>
      </c>
      <c r="C165" s="7">
        <f t="shared" si="30"/>
        <v>132995</v>
      </c>
      <c r="D165" s="7">
        <f t="shared" si="26"/>
        <v>1420988</v>
      </c>
      <c r="E165" s="7"/>
      <c r="F165" s="7">
        <f t="shared" si="31"/>
        <v>2570285</v>
      </c>
      <c r="G165" s="21">
        <v>0</v>
      </c>
      <c r="H165" s="21">
        <f t="shared" si="32"/>
        <v>2.6810647005969888E-3</v>
      </c>
      <c r="I165" s="21">
        <f t="shared" si="29"/>
        <v>2.6810647005969888E-3</v>
      </c>
      <c r="J165" s="21"/>
      <c r="K165" s="32">
        <v>1010473</v>
      </c>
      <c r="L165" s="82">
        <v>131932</v>
      </c>
      <c r="M165" s="32">
        <v>167325</v>
      </c>
      <c r="N165" s="32">
        <v>1309730</v>
      </c>
      <c r="O165" s="23">
        <v>0</v>
      </c>
      <c r="P165" s="23">
        <v>2.6982577332531612E-3</v>
      </c>
      <c r="Q165" s="23">
        <v>2.6982577332531612E-3</v>
      </c>
    </row>
    <row r="166" spans="1:17" x14ac:dyDescent="0.35">
      <c r="A166" s="25" t="str">
        <f>'Allocation schedule Non'!C127</f>
        <v>Whitley County Schools</v>
      </c>
      <c r="B166" s="7">
        <f>'2017 Prop share of contribs'!BT123</f>
        <v>2192643</v>
      </c>
      <c r="C166" s="7">
        <f t="shared" si="30"/>
        <v>286934</v>
      </c>
      <c r="D166" s="7">
        <f t="shared" si="26"/>
        <v>3065742</v>
      </c>
      <c r="E166" s="7"/>
      <c r="F166" s="7">
        <f t="shared" si="31"/>
        <v>5545319</v>
      </c>
      <c r="G166" s="21">
        <v>0</v>
      </c>
      <c r="H166" s="21">
        <f t="shared" si="32"/>
        <v>5.78432314877525E-3</v>
      </c>
      <c r="I166" s="21">
        <f t="shared" si="29"/>
        <v>5.78432314877525E-3</v>
      </c>
      <c r="J166" s="21"/>
      <c r="K166" s="32">
        <v>2215990</v>
      </c>
      <c r="L166" s="82">
        <v>289329</v>
      </c>
      <c r="M166" s="32">
        <v>366947</v>
      </c>
      <c r="N166" s="32">
        <v>2872266</v>
      </c>
      <c r="O166" s="23">
        <v>0</v>
      </c>
      <c r="P166" s="23">
        <v>5.9173371202157123E-3</v>
      </c>
      <c r="Q166" s="23">
        <v>5.9173371202157123E-3</v>
      </c>
    </row>
    <row r="167" spans="1:17" x14ac:dyDescent="0.35">
      <c r="A167" s="25" t="str">
        <f>'Allocation schedule Non'!C128</f>
        <v>Wolfe County Schools</v>
      </c>
      <c r="B167" s="7">
        <f>'2017 Prop share of contribs'!BT124</f>
        <v>789787</v>
      </c>
      <c r="C167" s="7">
        <f t="shared" si="30"/>
        <v>103353</v>
      </c>
      <c r="D167" s="7">
        <f t="shared" si="26"/>
        <v>1104276</v>
      </c>
      <c r="E167" s="7"/>
      <c r="F167" s="7">
        <f t="shared" si="31"/>
        <v>1997416</v>
      </c>
      <c r="G167" s="21">
        <v>0</v>
      </c>
      <c r="H167" s="21">
        <f t="shared" si="32"/>
        <v>2.0835049537337824E-3</v>
      </c>
      <c r="I167" s="21">
        <f t="shared" si="29"/>
        <v>2.0835049537337824E-3</v>
      </c>
      <c r="J167" s="21"/>
      <c r="K167" s="32">
        <v>736744</v>
      </c>
      <c r="L167" s="82">
        <v>96193</v>
      </c>
      <c r="M167" s="32">
        <v>121998</v>
      </c>
      <c r="N167" s="32">
        <v>954935</v>
      </c>
      <c r="O167" s="23">
        <v>0</v>
      </c>
      <c r="P167" s="23">
        <v>1.9673220805082785E-3</v>
      </c>
      <c r="Q167" s="23">
        <v>1.9673220805082785E-3</v>
      </c>
    </row>
    <row r="168" spans="1:17" x14ac:dyDescent="0.35">
      <c r="A168" s="25" t="str">
        <f>'Allocation schedule Non'!C129</f>
        <v>Woodford County Schools</v>
      </c>
      <c r="B168" s="7">
        <f>'2017 Prop share of contribs'!BT125</f>
        <v>2015842</v>
      </c>
      <c r="C168" s="7">
        <f t="shared" si="30"/>
        <v>263797</v>
      </c>
      <c r="D168" s="7">
        <f t="shared" si="26"/>
        <v>2818540</v>
      </c>
      <c r="E168" s="7"/>
      <c r="F168" s="7">
        <f t="shared" si="31"/>
        <v>5098179</v>
      </c>
      <c r="G168" s="21">
        <v>0</v>
      </c>
      <c r="H168" s="21">
        <f t="shared" si="32"/>
        <v>5.3179113422149125E-3</v>
      </c>
      <c r="I168" s="21">
        <f t="shared" si="29"/>
        <v>5.3179113422149125E-3</v>
      </c>
      <c r="J168" s="21"/>
      <c r="K168" s="32">
        <v>1965645</v>
      </c>
      <c r="L168" s="82">
        <v>256643</v>
      </c>
      <c r="M168" s="32">
        <v>325492</v>
      </c>
      <c r="N168" s="32">
        <v>2547780</v>
      </c>
      <c r="O168" s="23">
        <v>0</v>
      </c>
      <c r="P168" s="23">
        <v>5.2488429581881296E-3</v>
      </c>
      <c r="Q168" s="23">
        <v>5.2488429581881296E-3</v>
      </c>
    </row>
    <row r="169" spans="1:17" x14ac:dyDescent="0.35">
      <c r="A169" s="25" t="str">
        <f>'Allocation schedule Non'!C130</f>
        <v>Anchorage City Schools</v>
      </c>
      <c r="B169" s="7">
        <f>'2017 Prop share of contribs'!BT126</f>
        <v>400069</v>
      </c>
      <c r="C169" s="7">
        <f t="shared" si="30"/>
        <v>52354</v>
      </c>
      <c r="D169" s="7">
        <f t="shared" si="26"/>
        <v>559374</v>
      </c>
      <c r="E169" s="7"/>
      <c r="F169" s="7">
        <f t="shared" si="31"/>
        <v>1011797</v>
      </c>
      <c r="G169" s="21">
        <v>0</v>
      </c>
      <c r="H169" s="21">
        <f t="shared" si="32"/>
        <v>1.0554056148909291E-3</v>
      </c>
      <c r="I169" s="21">
        <f t="shared" si="29"/>
        <v>1.0554056148909291E-3</v>
      </c>
      <c r="J169" s="21"/>
      <c r="K169" s="32">
        <v>402013</v>
      </c>
      <c r="L169" s="82">
        <v>52489</v>
      </c>
      <c r="M169" s="32">
        <v>66569</v>
      </c>
      <c r="N169" s="32">
        <v>521071</v>
      </c>
      <c r="O169" s="23">
        <v>0</v>
      </c>
      <c r="P169" s="23">
        <v>1.0734913725149139E-3</v>
      </c>
      <c r="Q169" s="23">
        <v>1.0734913725149139E-3</v>
      </c>
    </row>
    <row r="170" spans="1:17" x14ac:dyDescent="0.35">
      <c r="A170" s="25" t="str">
        <f>'Allocation schedule Non'!C131</f>
        <v>Ashland City Schools</v>
      </c>
      <c r="B170" s="7">
        <f>'2017 Prop share of contribs'!BT127</f>
        <v>1643120</v>
      </c>
      <c r="C170" s="7">
        <f t="shared" si="30"/>
        <v>215022</v>
      </c>
      <c r="D170" s="7">
        <f t="shared" si="26"/>
        <v>2297402</v>
      </c>
      <c r="E170" s="7"/>
      <c r="F170" s="7">
        <f t="shared" si="31"/>
        <v>4155544</v>
      </c>
      <c r="G170" s="21">
        <v>0</v>
      </c>
      <c r="H170" s="21">
        <f t="shared" si="32"/>
        <v>4.3346486207473545E-3</v>
      </c>
      <c r="I170" s="21">
        <f t="shared" si="29"/>
        <v>4.3346486207473545E-3</v>
      </c>
      <c r="J170" s="21"/>
      <c r="K170" s="32">
        <v>1648344</v>
      </c>
      <c r="L170" s="82">
        <v>215215</v>
      </c>
      <c r="M170" s="32">
        <v>272950</v>
      </c>
      <c r="N170" s="32">
        <v>2136509</v>
      </c>
      <c r="O170" s="23">
        <v>0</v>
      </c>
      <c r="P170" s="23">
        <v>4.4015575205691082E-3</v>
      </c>
      <c r="Q170" s="23">
        <v>4.4015575205691082E-3</v>
      </c>
    </row>
    <row r="171" spans="1:17" x14ac:dyDescent="0.35">
      <c r="A171" s="25" t="str">
        <f>'Allocation schedule Non'!C132</f>
        <v>Augusta City Schools</v>
      </c>
      <c r="B171" s="7">
        <f>'2017 Prop share of contribs'!BT128</f>
        <v>160012</v>
      </c>
      <c r="C171" s="7">
        <f t="shared" si="30"/>
        <v>20940</v>
      </c>
      <c r="D171" s="7">
        <f t="shared" si="26"/>
        <v>223728</v>
      </c>
      <c r="E171" s="7"/>
      <c r="F171" s="7">
        <f t="shared" si="31"/>
        <v>404680</v>
      </c>
      <c r="G171" s="21">
        <v>0</v>
      </c>
      <c r="H171" s="21">
        <f t="shared" si="32"/>
        <v>4.2212177367007529E-4</v>
      </c>
      <c r="I171" s="21">
        <f t="shared" si="29"/>
        <v>4.2212177367007529E-4</v>
      </c>
      <c r="J171" s="21"/>
      <c r="K171" s="32">
        <v>163673</v>
      </c>
      <c r="L171" s="82">
        <v>21370</v>
      </c>
      <c r="M171" s="32">
        <v>27103</v>
      </c>
      <c r="N171" s="32">
        <v>212146</v>
      </c>
      <c r="O171" s="23">
        <v>0</v>
      </c>
      <c r="P171" s="23">
        <v>4.3705541224429859E-4</v>
      </c>
      <c r="Q171" s="23">
        <v>4.3705541224429859E-4</v>
      </c>
    </row>
    <row r="172" spans="1:17" x14ac:dyDescent="0.35">
      <c r="A172" s="25" t="str">
        <f>'Allocation schedule Non'!C133</f>
        <v>Barbourville City Schools</v>
      </c>
      <c r="B172" s="7">
        <f>'2017 Prop share of contribs'!BT129</f>
        <v>324533</v>
      </c>
      <c r="C172" s="7">
        <f t="shared" si="30"/>
        <v>42469</v>
      </c>
      <c r="D172" s="7">
        <f t="shared" si="26"/>
        <v>453760</v>
      </c>
      <c r="E172" s="7"/>
      <c r="F172" s="7">
        <f t="shared" si="31"/>
        <v>820762</v>
      </c>
      <c r="G172" s="21">
        <v>0</v>
      </c>
      <c r="H172" s="21">
        <f t="shared" si="32"/>
        <v>8.5613697539042789E-4</v>
      </c>
      <c r="I172" s="21">
        <f t="shared" si="29"/>
        <v>8.5613697539042789E-4</v>
      </c>
      <c r="J172" s="21"/>
      <c r="K172" s="32">
        <v>306134</v>
      </c>
      <c r="L172" s="82">
        <v>39970</v>
      </c>
      <c r="M172" s="32">
        <v>50693</v>
      </c>
      <c r="N172" s="32">
        <v>396797</v>
      </c>
      <c r="O172" s="23">
        <v>0</v>
      </c>
      <c r="P172" s="23">
        <v>8.174666334142569E-4</v>
      </c>
      <c r="Q172" s="23">
        <v>8.174666334142569E-4</v>
      </c>
    </row>
    <row r="173" spans="1:17" x14ac:dyDescent="0.35">
      <c r="A173" s="25" t="str">
        <f>'Allocation schedule Non'!C134</f>
        <v>Bardstown City Schools</v>
      </c>
      <c r="B173" s="7">
        <f>'2017 Prop share of contribs'!BT130</f>
        <v>1555585</v>
      </c>
      <c r="C173" s="7">
        <f t="shared" si="30"/>
        <v>203567</v>
      </c>
      <c r="D173" s="7">
        <f t="shared" si="26"/>
        <v>2175011</v>
      </c>
      <c r="E173" s="7"/>
      <c r="F173" s="7">
        <f t="shared" si="31"/>
        <v>3934163</v>
      </c>
      <c r="G173" s="21">
        <v>0</v>
      </c>
      <c r="H173" s="21">
        <f t="shared" si="32"/>
        <v>4.1037260637224087E-3</v>
      </c>
      <c r="I173" s="21">
        <f t="shared" si="29"/>
        <v>4.1037260637224087E-3</v>
      </c>
      <c r="J173" s="21"/>
      <c r="K173" s="32">
        <v>1508176</v>
      </c>
      <c r="L173" s="82">
        <v>196914</v>
      </c>
      <c r="M173" s="32">
        <v>249739</v>
      </c>
      <c r="N173" s="32">
        <v>1954829</v>
      </c>
      <c r="O173" s="23">
        <v>0</v>
      </c>
      <c r="P173" s="23">
        <v>4.027267044686725E-3</v>
      </c>
      <c r="Q173" s="23">
        <v>4.027267044686725E-3</v>
      </c>
    </row>
    <row r="174" spans="1:17" x14ac:dyDescent="0.35">
      <c r="A174" s="25" t="str">
        <f>'Allocation schedule Non'!C135</f>
        <v>Beechwood Independent Schools</v>
      </c>
      <c r="B174" s="7">
        <f>'2017 Prop share of contribs'!BT131</f>
        <v>756417</v>
      </c>
      <c r="C174" s="7">
        <f t="shared" si="30"/>
        <v>98986</v>
      </c>
      <c r="D174" s="7">
        <f t="shared" si="26"/>
        <v>1057618</v>
      </c>
      <c r="E174" s="7"/>
      <c r="F174" s="7">
        <f t="shared" si="31"/>
        <v>1913021</v>
      </c>
      <c r="G174" s="21">
        <v>0</v>
      </c>
      <c r="H174" s="21">
        <f t="shared" si="32"/>
        <v>1.9954725155384529E-3</v>
      </c>
      <c r="I174" s="21">
        <f t="shared" si="29"/>
        <v>1.9954725155384529E-3</v>
      </c>
      <c r="J174" s="21"/>
      <c r="K174" s="32">
        <v>757408</v>
      </c>
      <c r="L174" s="82">
        <v>98891</v>
      </c>
      <c r="M174" s="32">
        <v>125419</v>
      </c>
      <c r="N174" s="32">
        <v>981718</v>
      </c>
      <c r="O174" s="23">
        <v>0</v>
      </c>
      <c r="P174" s="23">
        <v>2.022499435283476E-3</v>
      </c>
      <c r="Q174" s="23">
        <v>2.022499435283476E-3</v>
      </c>
    </row>
    <row r="175" spans="1:17" x14ac:dyDescent="0.35">
      <c r="A175" s="25" t="str">
        <f>'Allocation schedule Non'!C136</f>
        <v>Bellevue City Schools</v>
      </c>
      <c r="B175" s="7">
        <f>'2017 Prop share of contribs'!BT132</f>
        <v>456885</v>
      </c>
      <c r="C175" s="7">
        <f t="shared" si="30"/>
        <v>59789</v>
      </c>
      <c r="D175" s="7">
        <f t="shared" si="26"/>
        <v>638814</v>
      </c>
      <c r="E175" s="7"/>
      <c r="F175" s="7">
        <f t="shared" si="31"/>
        <v>1155488</v>
      </c>
      <c r="G175" s="21">
        <v>0</v>
      </c>
      <c r="H175" s="21">
        <f t="shared" si="32"/>
        <v>1.2052897203086092E-3</v>
      </c>
      <c r="I175" s="21">
        <f t="shared" si="29"/>
        <v>1.2052897203086092E-3</v>
      </c>
      <c r="J175" s="21"/>
      <c r="K175" s="32">
        <v>443719</v>
      </c>
      <c r="L175" s="82">
        <v>57934</v>
      </c>
      <c r="M175" s="32">
        <v>73476</v>
      </c>
      <c r="N175" s="32">
        <v>575129</v>
      </c>
      <c r="O175" s="23">
        <v>0</v>
      </c>
      <c r="P175" s="23">
        <v>1.1848596824293232E-3</v>
      </c>
      <c r="Q175" s="23">
        <v>1.1848596824293232E-3</v>
      </c>
    </row>
    <row r="176" spans="1:17" x14ac:dyDescent="0.35">
      <c r="A176" s="25" t="str">
        <f>'Allocation schedule Non'!C137</f>
        <v>Berea City Schools</v>
      </c>
      <c r="B176" s="7">
        <f>'2017 Prop share of contribs'!BT133</f>
        <v>591693</v>
      </c>
      <c r="C176" s="7">
        <f t="shared" si="30"/>
        <v>77430</v>
      </c>
      <c r="D176" s="7">
        <f t="shared" si="26"/>
        <v>827302</v>
      </c>
      <c r="E176" s="7"/>
      <c r="F176" s="7">
        <f t="shared" si="31"/>
        <v>1496425</v>
      </c>
      <c r="G176" s="21">
        <v>0</v>
      </c>
      <c r="H176" s="21">
        <f t="shared" si="32"/>
        <v>1.5609211603346902E-3</v>
      </c>
      <c r="I176" s="21">
        <f t="shared" si="29"/>
        <v>1.5609211603346902E-3</v>
      </c>
      <c r="J176" s="21"/>
      <c r="K176" s="32">
        <v>583483</v>
      </c>
      <c r="L176" s="82">
        <v>76182</v>
      </c>
      <c r="M176" s="32">
        <v>96619</v>
      </c>
      <c r="N176" s="32">
        <v>756284</v>
      </c>
      <c r="O176" s="23">
        <v>0</v>
      </c>
      <c r="P176" s="23">
        <v>1.5580685725574233E-3</v>
      </c>
      <c r="Q176" s="23">
        <v>1.5580685725574233E-3</v>
      </c>
    </row>
    <row r="177" spans="1:17" x14ac:dyDescent="0.35">
      <c r="A177" s="25" t="str">
        <f>'Allocation schedule Non'!C138</f>
        <v>Bowling Green City Schools</v>
      </c>
      <c r="B177" s="7">
        <f>'2017 Prop share of contribs'!BT134</f>
        <v>2230783</v>
      </c>
      <c r="C177" s="7">
        <f t="shared" ref="C177:C208" si="33">ROUND(B177/$B$230*$D$245,0)</f>
        <v>291925</v>
      </c>
      <c r="D177" s="7">
        <f t="shared" ref="D177:D229" si="34">ROUND(B177/$B$234*(($D$244+$D$240)*0.95261),0)</f>
        <v>3119070</v>
      </c>
      <c r="E177" s="7"/>
      <c r="F177" s="7">
        <f t="shared" ref="F177:F208" si="35">B177+C177+D177</f>
        <v>5641778</v>
      </c>
      <c r="G177" s="21">
        <v>0</v>
      </c>
      <c r="H177" s="21">
        <f t="shared" ref="H177:H208" si="36">F177/($B$234+$D$234+$C$234)</f>
        <v>5.8849395473282839E-3</v>
      </c>
      <c r="I177" s="21">
        <f t="shared" si="29"/>
        <v>5.8849395473282839E-3</v>
      </c>
      <c r="J177" s="21"/>
      <c r="K177" s="32">
        <v>2222676</v>
      </c>
      <c r="L177" s="82">
        <v>290202</v>
      </c>
      <c r="M177" s="32">
        <v>368054</v>
      </c>
      <c r="N177" s="32">
        <v>2880932</v>
      </c>
      <c r="O177" s="23">
        <v>0</v>
      </c>
      <c r="P177" s="23">
        <v>5.9351904957330873E-3</v>
      </c>
      <c r="Q177" s="23">
        <v>5.9351904957330873E-3</v>
      </c>
    </row>
    <row r="178" spans="1:17" x14ac:dyDescent="0.35">
      <c r="A178" s="25" t="str">
        <f>'Allocation schedule Non'!C139</f>
        <v>Burgin City Schools</v>
      </c>
      <c r="B178" s="7">
        <f>'2017 Prop share of contribs'!BT135</f>
        <v>252892</v>
      </c>
      <c r="C178" s="7">
        <f t="shared" si="33"/>
        <v>33094</v>
      </c>
      <c r="D178" s="7">
        <f t="shared" si="34"/>
        <v>353592</v>
      </c>
      <c r="E178" s="7"/>
      <c r="F178" s="7">
        <f t="shared" si="35"/>
        <v>639578</v>
      </c>
      <c r="G178" s="21">
        <v>0</v>
      </c>
      <c r="H178" s="21">
        <f t="shared" si="36"/>
        <v>6.6714391558851292E-4</v>
      </c>
      <c r="I178" s="21">
        <f t="shared" ref="I178:I229" si="37">G178+H178</f>
        <v>6.6714391558851292E-4</v>
      </c>
      <c r="J178" s="21"/>
      <c r="K178" s="32">
        <v>245207</v>
      </c>
      <c r="L178" s="82">
        <v>32015</v>
      </c>
      <c r="M178" s="32">
        <v>40604</v>
      </c>
      <c r="N178" s="32">
        <v>317826</v>
      </c>
      <c r="O178" s="23">
        <v>0</v>
      </c>
      <c r="P178" s="23">
        <v>6.5477347417324124E-4</v>
      </c>
      <c r="Q178" s="23">
        <v>6.5477347417324124E-4</v>
      </c>
    </row>
    <row r="179" spans="1:17" x14ac:dyDescent="0.35">
      <c r="A179" s="25" t="str">
        <f>'Allocation schedule Non'!C140</f>
        <v>Campbellsville City Schools</v>
      </c>
      <c r="B179" s="7">
        <f>'2017 Prop share of contribs'!BT136</f>
        <v>650471</v>
      </c>
      <c r="C179" s="7">
        <f t="shared" si="33"/>
        <v>85122</v>
      </c>
      <c r="D179" s="7">
        <f t="shared" si="34"/>
        <v>909485</v>
      </c>
      <c r="E179" s="7"/>
      <c r="F179" s="7">
        <f t="shared" si="35"/>
        <v>1645078</v>
      </c>
      <c r="G179" s="21">
        <v>0</v>
      </c>
      <c r="H179" s="21">
        <f t="shared" si="36"/>
        <v>1.7159811287575865E-3</v>
      </c>
      <c r="I179" s="21">
        <f t="shared" si="37"/>
        <v>1.7159811287575865E-3</v>
      </c>
      <c r="J179" s="21"/>
      <c r="K179" s="32">
        <v>642058</v>
      </c>
      <c r="L179" s="82">
        <v>83830</v>
      </c>
      <c r="M179" s="32">
        <v>106319</v>
      </c>
      <c r="N179" s="32">
        <v>832207</v>
      </c>
      <c r="O179" s="23">
        <v>0</v>
      </c>
      <c r="P179" s="23">
        <v>1.7144823539335693E-3</v>
      </c>
      <c r="Q179" s="23">
        <v>1.7144823539335693E-3</v>
      </c>
    </row>
    <row r="180" spans="1:17" x14ac:dyDescent="0.35">
      <c r="A180" s="25" t="str">
        <f>'Allocation schedule Non'!C141</f>
        <v>Caverna City Schools</v>
      </c>
      <c r="B180" s="7">
        <f>'2017 Prop share of contribs'!BT137</f>
        <v>419466</v>
      </c>
      <c r="C180" s="7">
        <f t="shared" si="33"/>
        <v>54892</v>
      </c>
      <c r="D180" s="7">
        <f t="shared" si="34"/>
        <v>586495</v>
      </c>
      <c r="E180" s="7"/>
      <c r="F180" s="7">
        <f t="shared" si="35"/>
        <v>1060853</v>
      </c>
      <c r="G180" s="21">
        <v>0</v>
      </c>
      <c r="H180" s="21">
        <f t="shared" si="36"/>
        <v>1.1065759364515676E-3</v>
      </c>
      <c r="I180" s="21">
        <f t="shared" si="37"/>
        <v>1.1065759364515676E-3</v>
      </c>
      <c r="J180" s="21"/>
      <c r="K180" s="32">
        <v>408712</v>
      </c>
      <c r="L180" s="82">
        <v>53363</v>
      </c>
      <c r="M180" s="32">
        <v>67679</v>
      </c>
      <c r="N180" s="32">
        <v>529754</v>
      </c>
      <c r="O180" s="23">
        <v>0</v>
      </c>
      <c r="P180" s="23">
        <v>1.0913797708090945E-3</v>
      </c>
      <c r="Q180" s="23">
        <v>1.0913797708090945E-3</v>
      </c>
    </row>
    <row r="181" spans="1:17" x14ac:dyDescent="0.35">
      <c r="A181" s="25" t="str">
        <f>'Allocation schedule Non'!C142</f>
        <v>Cloverport City Schools</v>
      </c>
      <c r="B181" s="7">
        <f>'2017 Prop share of contribs'!BT138</f>
        <v>206497</v>
      </c>
      <c r="C181" s="7">
        <f t="shared" si="33"/>
        <v>27023</v>
      </c>
      <c r="D181" s="7">
        <f t="shared" si="34"/>
        <v>288723</v>
      </c>
      <c r="E181" s="7"/>
      <c r="F181" s="7">
        <f t="shared" si="35"/>
        <v>522243</v>
      </c>
      <c r="G181" s="21">
        <v>0</v>
      </c>
      <c r="H181" s="21">
        <f t="shared" si="36"/>
        <v>5.447517580477937E-4</v>
      </c>
      <c r="I181" s="21">
        <f t="shared" si="37"/>
        <v>5.447517580477937E-4</v>
      </c>
      <c r="J181" s="21"/>
      <c r="K181" s="32">
        <v>215120</v>
      </c>
      <c r="L181" s="82">
        <v>28087</v>
      </c>
      <c r="M181" s="32">
        <v>35622</v>
      </c>
      <c r="N181" s="32">
        <v>278829</v>
      </c>
      <c r="O181" s="23">
        <v>0</v>
      </c>
      <c r="P181" s="23">
        <v>5.7443328434505256E-4</v>
      </c>
      <c r="Q181" s="23">
        <v>5.7443328434505256E-4</v>
      </c>
    </row>
    <row r="182" spans="1:17" x14ac:dyDescent="0.35">
      <c r="A182" s="25" t="str">
        <f>'Allocation schedule Non'!C143</f>
        <v>Corbin City Schools</v>
      </c>
      <c r="B182" s="7">
        <f>'2017 Prop share of contribs'!BT139</f>
        <v>1437590</v>
      </c>
      <c r="C182" s="7">
        <f t="shared" si="33"/>
        <v>188126</v>
      </c>
      <c r="D182" s="7">
        <f t="shared" si="34"/>
        <v>2010031</v>
      </c>
      <c r="E182" s="7"/>
      <c r="F182" s="7">
        <f t="shared" si="35"/>
        <v>3635747</v>
      </c>
      <c r="G182" s="21">
        <v>0</v>
      </c>
      <c r="H182" s="21">
        <f t="shared" si="36"/>
        <v>3.7924482856964894E-3</v>
      </c>
      <c r="I182" s="21">
        <f t="shared" si="37"/>
        <v>3.7924482856964894E-3</v>
      </c>
      <c r="J182" s="21"/>
      <c r="K182" s="32">
        <v>1399041</v>
      </c>
      <c r="L182" s="82">
        <v>182665</v>
      </c>
      <c r="M182" s="32">
        <v>231668</v>
      </c>
      <c r="N182" s="32">
        <v>1813374</v>
      </c>
      <c r="O182" s="23">
        <v>0</v>
      </c>
      <c r="P182" s="23">
        <v>3.735846639215883E-3</v>
      </c>
      <c r="Q182" s="23">
        <v>3.735846639215883E-3</v>
      </c>
    </row>
    <row r="183" spans="1:17" x14ac:dyDescent="0.35">
      <c r="A183" s="25" t="str">
        <f>'Allocation schedule Non'!C144</f>
        <v>Covington City Schools</v>
      </c>
      <c r="B183" s="7">
        <f>'2017 Prop share of contribs'!BT140</f>
        <v>2510141</v>
      </c>
      <c r="C183" s="7">
        <f t="shared" si="33"/>
        <v>328482</v>
      </c>
      <c r="D183" s="7">
        <f t="shared" si="34"/>
        <v>3509667</v>
      </c>
      <c r="E183" s="7"/>
      <c r="F183" s="7">
        <f t="shared" si="35"/>
        <v>6348290</v>
      </c>
      <c r="G183" s="21">
        <v>0</v>
      </c>
      <c r="H183" s="21">
        <f t="shared" si="36"/>
        <v>6.6219023291786156E-3</v>
      </c>
      <c r="I183" s="21">
        <f t="shared" si="37"/>
        <v>6.6219023291786156E-3</v>
      </c>
      <c r="J183" s="21"/>
      <c r="K183" s="32">
        <v>2523042</v>
      </c>
      <c r="L183" s="82">
        <v>329419</v>
      </c>
      <c r="M183" s="32">
        <v>417791</v>
      </c>
      <c r="N183" s="32">
        <v>3270252</v>
      </c>
      <c r="O183" s="23">
        <v>0</v>
      </c>
      <c r="P183" s="23">
        <v>6.7372532878430041E-3</v>
      </c>
      <c r="Q183" s="23">
        <v>6.7372532878430041E-3</v>
      </c>
    </row>
    <row r="184" spans="1:17" x14ac:dyDescent="0.35">
      <c r="A184" s="25" t="str">
        <f>'Allocation schedule Non'!C145</f>
        <v>Danville City Schools</v>
      </c>
      <c r="B184" s="7">
        <f>'2017 Prop share of contribs'!BT141</f>
        <v>1260637</v>
      </c>
      <c r="C184" s="7">
        <f t="shared" si="33"/>
        <v>164970</v>
      </c>
      <c r="D184" s="7">
        <f t="shared" si="34"/>
        <v>1762616</v>
      </c>
      <c r="E184" s="7"/>
      <c r="F184" s="7">
        <f t="shared" si="35"/>
        <v>3188223</v>
      </c>
      <c r="G184" s="21">
        <v>0</v>
      </c>
      <c r="H184" s="21">
        <f t="shared" si="36"/>
        <v>3.3256359286738374E-3</v>
      </c>
      <c r="I184" s="21">
        <f t="shared" si="37"/>
        <v>3.3256359286738374E-3</v>
      </c>
      <c r="J184" s="21"/>
      <c r="K184" s="32">
        <v>1248153</v>
      </c>
      <c r="L184" s="82">
        <v>162964</v>
      </c>
      <c r="M184" s="32">
        <v>206682</v>
      </c>
      <c r="N184" s="32">
        <v>1617799</v>
      </c>
      <c r="O184" s="23">
        <v>0</v>
      </c>
      <c r="P184" s="23">
        <v>3.3329301937034591E-3</v>
      </c>
      <c r="Q184" s="23">
        <v>3.3329301937034591E-3</v>
      </c>
    </row>
    <row r="185" spans="1:17" x14ac:dyDescent="0.35">
      <c r="A185" s="25" t="str">
        <f>'Allocation schedule Non'!C146</f>
        <v>Dawson Springs City Schools</v>
      </c>
      <c r="B185" s="7">
        <f>'2017 Prop share of contribs'!BT142</f>
        <v>328141</v>
      </c>
      <c r="C185" s="7">
        <f t="shared" si="33"/>
        <v>42941</v>
      </c>
      <c r="D185" s="7">
        <f t="shared" si="34"/>
        <v>458805</v>
      </c>
      <c r="E185" s="7"/>
      <c r="F185" s="7">
        <f t="shared" si="35"/>
        <v>829887</v>
      </c>
      <c r="G185" s="21">
        <v>0</v>
      </c>
      <c r="H185" s="21">
        <f t="shared" si="36"/>
        <v>8.6565526437120137E-4</v>
      </c>
      <c r="I185" s="21">
        <f t="shared" si="37"/>
        <v>8.6565526437120137E-4</v>
      </c>
      <c r="J185" s="21"/>
      <c r="K185" s="32">
        <v>331838</v>
      </c>
      <c r="L185" s="82">
        <v>43326</v>
      </c>
      <c r="M185" s="32">
        <v>54949</v>
      </c>
      <c r="N185" s="32">
        <v>430113</v>
      </c>
      <c r="O185" s="23">
        <v>0</v>
      </c>
      <c r="P185" s="23">
        <v>8.8610303529942588E-4</v>
      </c>
      <c r="Q185" s="23">
        <v>8.8610303529942588E-4</v>
      </c>
    </row>
    <row r="186" spans="1:17" x14ac:dyDescent="0.35">
      <c r="A186" s="25" t="str">
        <f>'Allocation schedule Non'!C147</f>
        <v>Dayton City Schools</v>
      </c>
      <c r="B186" s="7">
        <f>'2017 Prop share of contribs'!BT143</f>
        <v>521433</v>
      </c>
      <c r="C186" s="7">
        <f t="shared" si="33"/>
        <v>68236</v>
      </c>
      <c r="D186" s="7">
        <f t="shared" si="34"/>
        <v>729065</v>
      </c>
      <c r="E186" s="7"/>
      <c r="F186" s="7">
        <f t="shared" si="35"/>
        <v>1318734</v>
      </c>
      <c r="G186" s="21">
        <v>0</v>
      </c>
      <c r="H186" s="21">
        <f t="shared" si="36"/>
        <v>1.3755716493996074E-3</v>
      </c>
      <c r="I186" s="21">
        <f t="shared" si="37"/>
        <v>1.3755716493996074E-3</v>
      </c>
      <c r="J186" s="21"/>
      <c r="K186" s="32">
        <v>516929</v>
      </c>
      <c r="L186" s="82">
        <v>67493</v>
      </c>
      <c r="M186" s="32">
        <v>85598</v>
      </c>
      <c r="N186" s="32">
        <v>670020</v>
      </c>
      <c r="O186" s="23">
        <v>0</v>
      </c>
      <c r="P186" s="23">
        <v>1.3803506420669016E-3</v>
      </c>
      <c r="Q186" s="23">
        <v>1.3803506420669016E-3</v>
      </c>
    </row>
    <row r="187" spans="1:17" x14ac:dyDescent="0.35">
      <c r="A187" s="25" t="str">
        <f>'Allocation schedule Non'!C148</f>
        <v>East Bernstadt City Schools</v>
      </c>
      <c r="B187" s="7">
        <f>'2017 Prop share of contribs'!BT144</f>
        <v>250438</v>
      </c>
      <c r="C187" s="7">
        <f t="shared" si="33"/>
        <v>32773</v>
      </c>
      <c r="D187" s="7">
        <f t="shared" si="34"/>
        <v>350161</v>
      </c>
      <c r="E187" s="7"/>
      <c r="F187" s="7">
        <f t="shared" si="35"/>
        <v>633372</v>
      </c>
      <c r="G187" s="21">
        <v>0</v>
      </c>
      <c r="H187" s="21">
        <f t="shared" si="36"/>
        <v>6.6067043598142471E-4</v>
      </c>
      <c r="I187" s="21">
        <f t="shared" si="37"/>
        <v>6.6067043598142471E-4</v>
      </c>
      <c r="J187" s="21"/>
      <c r="K187" s="32">
        <v>251423</v>
      </c>
      <c r="L187" s="82">
        <v>32827</v>
      </c>
      <c r="M187" s="32">
        <v>41633</v>
      </c>
      <c r="N187" s="32">
        <v>325883</v>
      </c>
      <c r="O187" s="23">
        <v>0</v>
      </c>
      <c r="P187" s="23">
        <v>6.7137221021564746E-4</v>
      </c>
      <c r="Q187" s="23">
        <v>6.7137221021564746E-4</v>
      </c>
    </row>
    <row r="188" spans="1:17" x14ac:dyDescent="0.35">
      <c r="A188" s="25" t="str">
        <f>'Allocation schedule Non'!C149</f>
        <v>Elizabethtown City Schools</v>
      </c>
      <c r="B188" s="7">
        <f>'2017 Prop share of contribs'!BT145</f>
        <v>1344223</v>
      </c>
      <c r="C188" s="7">
        <f t="shared" si="33"/>
        <v>175908</v>
      </c>
      <c r="D188" s="7">
        <f t="shared" si="34"/>
        <v>1879486</v>
      </c>
      <c r="E188" s="7"/>
      <c r="F188" s="7">
        <f t="shared" si="35"/>
        <v>3399617</v>
      </c>
      <c r="G188" s="21">
        <v>0</v>
      </c>
      <c r="H188" s="21">
        <f t="shared" si="36"/>
        <v>3.5461410443781267E-3</v>
      </c>
      <c r="I188" s="21">
        <f t="shared" si="37"/>
        <v>3.5461410443781267E-3</v>
      </c>
      <c r="J188" s="21"/>
      <c r="K188" s="32">
        <v>1331818</v>
      </c>
      <c r="L188" s="82">
        <v>173888</v>
      </c>
      <c r="M188" s="32">
        <v>220536</v>
      </c>
      <c r="N188" s="32">
        <v>1726242</v>
      </c>
      <c r="O188" s="23">
        <v>0</v>
      </c>
      <c r="P188" s="23">
        <v>3.5563404869449456E-3</v>
      </c>
      <c r="Q188" s="23">
        <v>3.5563404869449456E-3</v>
      </c>
    </row>
    <row r="189" spans="1:17" x14ac:dyDescent="0.35">
      <c r="A189" s="25" t="str">
        <f>'Allocation schedule Non'!C150</f>
        <v>Eminence Independent Schools</v>
      </c>
      <c r="B189" s="7">
        <f>'2017 Prop share of contribs'!BT146</f>
        <v>419469</v>
      </c>
      <c r="C189" s="7">
        <f t="shared" si="33"/>
        <v>54893</v>
      </c>
      <c r="D189" s="7">
        <f t="shared" si="34"/>
        <v>586499</v>
      </c>
      <c r="E189" s="7"/>
      <c r="F189" s="7">
        <f t="shared" si="35"/>
        <v>1060861</v>
      </c>
      <c r="G189" s="21">
        <v>0</v>
      </c>
      <c r="H189" s="21">
        <f t="shared" si="36"/>
        <v>1.1065842812528659E-3</v>
      </c>
      <c r="I189" s="21">
        <f t="shared" si="37"/>
        <v>1.1065842812528659E-3</v>
      </c>
      <c r="J189" s="21"/>
      <c r="K189" s="32">
        <v>400592</v>
      </c>
      <c r="L189" s="82">
        <v>52303</v>
      </c>
      <c r="M189" s="32">
        <v>66334</v>
      </c>
      <c r="N189" s="32">
        <v>519229</v>
      </c>
      <c r="O189" s="23">
        <v>0</v>
      </c>
      <c r="P189" s="23">
        <v>1.0696965516398844E-3</v>
      </c>
      <c r="Q189" s="23">
        <v>1.0696965516398844E-3</v>
      </c>
    </row>
    <row r="190" spans="1:17" x14ac:dyDescent="0.35">
      <c r="A190" s="25" t="str">
        <f>'Allocation schedule Non'!C151</f>
        <v>Erlanger-Elsmere City Schools</v>
      </c>
      <c r="B190" s="7">
        <f>'2017 Prop share of contribs'!BT147</f>
        <v>1347344</v>
      </c>
      <c r="C190" s="7">
        <f t="shared" si="33"/>
        <v>176316</v>
      </c>
      <c r="D190" s="7">
        <f t="shared" si="34"/>
        <v>1883850</v>
      </c>
      <c r="E190" s="7"/>
      <c r="F190" s="7">
        <f t="shared" si="35"/>
        <v>3407510</v>
      </c>
      <c r="G190" s="21">
        <v>0</v>
      </c>
      <c r="H190" s="21">
        <f t="shared" si="36"/>
        <v>3.5543742339589758E-3</v>
      </c>
      <c r="I190" s="21">
        <f t="shared" si="37"/>
        <v>3.5543742339589758E-3</v>
      </c>
      <c r="J190" s="21"/>
      <c r="K190" s="32">
        <v>1318126</v>
      </c>
      <c r="L190" s="82">
        <v>172100</v>
      </c>
      <c r="M190" s="32">
        <v>218269</v>
      </c>
      <c r="N190" s="32">
        <v>1708495</v>
      </c>
      <c r="O190" s="23">
        <v>0</v>
      </c>
      <c r="P190" s="23">
        <v>3.5197787681234757E-3</v>
      </c>
      <c r="Q190" s="23">
        <v>3.5197787681234757E-3</v>
      </c>
    </row>
    <row r="191" spans="1:17" x14ac:dyDescent="0.35">
      <c r="A191" s="25" t="str">
        <f>'Allocation schedule Non'!C152</f>
        <v>Fairview Independent Schools</v>
      </c>
      <c r="B191" s="7">
        <f>'2017 Prop share of contribs'!BT148</f>
        <v>381849</v>
      </c>
      <c r="C191" s="7">
        <f t="shared" si="33"/>
        <v>49970</v>
      </c>
      <c r="D191" s="7">
        <f t="shared" si="34"/>
        <v>533899</v>
      </c>
      <c r="E191" s="7"/>
      <c r="F191" s="7">
        <f t="shared" si="35"/>
        <v>965718</v>
      </c>
      <c r="G191" s="21">
        <v>0</v>
      </c>
      <c r="H191" s="21">
        <f t="shared" si="36"/>
        <v>1.0073406025133877E-3</v>
      </c>
      <c r="I191" s="21">
        <f t="shared" si="37"/>
        <v>1.0073406025133877E-3</v>
      </c>
      <c r="J191" s="21"/>
      <c r="K191" s="32">
        <v>422211</v>
      </c>
      <c r="L191" s="82">
        <v>55126</v>
      </c>
      <c r="M191" s="32">
        <v>69914</v>
      </c>
      <c r="N191" s="32">
        <v>547251</v>
      </c>
      <c r="O191" s="23">
        <v>0</v>
      </c>
      <c r="P191" s="23">
        <v>1.1274264487951913E-3</v>
      </c>
      <c r="Q191" s="23">
        <v>1.1274264487951913E-3</v>
      </c>
    </row>
    <row r="192" spans="1:17" x14ac:dyDescent="0.35">
      <c r="A192" s="25" t="str">
        <f>'Allocation schedule Non'!C153</f>
        <v>Fort Thomas Independent Schools</v>
      </c>
      <c r="B192" s="7">
        <f>'2017 Prop share of contribs'!BT149</f>
        <v>1776837</v>
      </c>
      <c r="C192" s="7">
        <f t="shared" si="33"/>
        <v>232521</v>
      </c>
      <c r="D192" s="7">
        <f t="shared" si="34"/>
        <v>2484365</v>
      </c>
      <c r="E192" s="7"/>
      <c r="F192" s="7">
        <f t="shared" si="35"/>
        <v>4493723</v>
      </c>
      <c r="G192" s="21">
        <v>0</v>
      </c>
      <c r="H192" s="21">
        <f t="shared" si="36"/>
        <v>4.6874031905258769E-3</v>
      </c>
      <c r="I192" s="21">
        <f t="shared" si="37"/>
        <v>4.6874031905258769E-3</v>
      </c>
      <c r="J192" s="21"/>
      <c r="K192" s="32">
        <v>1731512</v>
      </c>
      <c r="L192" s="82">
        <v>226074</v>
      </c>
      <c r="M192" s="32">
        <v>286722</v>
      </c>
      <c r="N192" s="32">
        <v>2244308</v>
      </c>
      <c r="O192" s="23">
        <v>0</v>
      </c>
      <c r="P192" s="23">
        <v>4.6236410686186745E-3</v>
      </c>
      <c r="Q192" s="23">
        <v>4.6236410686186745E-3</v>
      </c>
    </row>
    <row r="193" spans="1:17" x14ac:dyDescent="0.35">
      <c r="A193" s="25" t="str">
        <f>'Allocation schedule Non'!C154</f>
        <v>Frankfort City Schools</v>
      </c>
      <c r="B193" s="7">
        <f>'2017 Prop share of contribs'!BT150</f>
        <v>521693</v>
      </c>
      <c r="C193" s="7">
        <f t="shared" si="33"/>
        <v>68270</v>
      </c>
      <c r="D193" s="7">
        <f t="shared" si="34"/>
        <v>729429</v>
      </c>
      <c r="E193" s="7"/>
      <c r="F193" s="7">
        <f t="shared" si="35"/>
        <v>1319392</v>
      </c>
      <c r="G193" s="21">
        <v>0</v>
      </c>
      <c r="H193" s="21">
        <f t="shared" si="36"/>
        <v>1.3762580093063853E-3</v>
      </c>
      <c r="I193" s="21">
        <f t="shared" si="37"/>
        <v>1.3762580093063853E-3</v>
      </c>
      <c r="J193" s="21"/>
      <c r="K193" s="32">
        <v>473703</v>
      </c>
      <c r="L193" s="82">
        <v>61849</v>
      </c>
      <c r="M193" s="32">
        <v>78441</v>
      </c>
      <c r="N193" s="32">
        <v>613993</v>
      </c>
      <c r="O193" s="23">
        <v>0</v>
      </c>
      <c r="P193" s="23">
        <v>1.2649258705330934E-3</v>
      </c>
      <c r="Q193" s="23">
        <v>1.2649258705330934E-3</v>
      </c>
    </row>
    <row r="194" spans="1:17" x14ac:dyDescent="0.35">
      <c r="A194" s="25" t="str">
        <f>'Allocation schedule Non'!C155</f>
        <v>Fulton City Schools</v>
      </c>
      <c r="B194" s="7">
        <f>'2017 Prop share of contribs'!BT151</f>
        <v>206722</v>
      </c>
      <c r="C194" s="7">
        <f t="shared" si="33"/>
        <v>27052</v>
      </c>
      <c r="D194" s="7">
        <f t="shared" si="34"/>
        <v>289038</v>
      </c>
      <c r="E194" s="7"/>
      <c r="F194" s="7">
        <f t="shared" si="35"/>
        <v>522812</v>
      </c>
      <c r="G194" s="21">
        <v>0</v>
      </c>
      <c r="H194" s="21">
        <f t="shared" si="36"/>
        <v>5.4534528204012902E-4</v>
      </c>
      <c r="I194" s="21">
        <f t="shared" si="37"/>
        <v>5.4534528204012902E-4</v>
      </c>
      <c r="J194" s="21"/>
      <c r="K194" s="32">
        <v>211119</v>
      </c>
      <c r="L194" s="82">
        <v>27565</v>
      </c>
      <c r="M194" s="32">
        <v>34959</v>
      </c>
      <c r="N194" s="32">
        <v>273643</v>
      </c>
      <c r="O194" s="23">
        <v>0</v>
      </c>
      <c r="P194" s="23">
        <v>5.6374927725607172E-4</v>
      </c>
      <c r="Q194" s="23">
        <v>5.6374927725607172E-4</v>
      </c>
    </row>
    <row r="195" spans="1:17" x14ac:dyDescent="0.35">
      <c r="A195" s="25" t="str">
        <f>'Allocation schedule Non'!C156</f>
        <v>Glasgow City Schools</v>
      </c>
      <c r="B195" s="7">
        <f>'2017 Prop share of contribs'!BT152</f>
        <v>1254120</v>
      </c>
      <c r="C195" s="7">
        <f t="shared" si="33"/>
        <v>164117</v>
      </c>
      <c r="D195" s="7">
        <f t="shared" si="34"/>
        <v>1753504</v>
      </c>
      <c r="E195" s="7"/>
      <c r="F195" s="7">
        <f t="shared" si="35"/>
        <v>3171741</v>
      </c>
      <c r="G195" s="21">
        <v>0</v>
      </c>
      <c r="H195" s="21">
        <f t="shared" si="36"/>
        <v>3.3084435517991952E-3</v>
      </c>
      <c r="I195" s="21">
        <f t="shared" si="37"/>
        <v>3.3084435517991952E-3</v>
      </c>
      <c r="J195" s="21"/>
      <c r="K195" s="32">
        <v>1173849</v>
      </c>
      <c r="L195" s="82">
        <v>153263</v>
      </c>
      <c r="M195" s="32">
        <v>194378</v>
      </c>
      <c r="N195" s="32">
        <v>1521490</v>
      </c>
      <c r="O195" s="23">
        <v>0</v>
      </c>
      <c r="P195" s="23">
        <v>3.1345179224476437E-3</v>
      </c>
      <c r="Q195" s="23">
        <v>3.1345179224476437E-3</v>
      </c>
    </row>
    <row r="196" spans="1:17" x14ac:dyDescent="0.35">
      <c r="A196" s="25" t="str">
        <f>'Allocation schedule Non'!C157</f>
        <v>Harlan City Schools</v>
      </c>
      <c r="B196" s="7">
        <f>'2017 Prop share of contribs'!BT153</f>
        <v>350585</v>
      </c>
      <c r="C196" s="7">
        <f t="shared" si="33"/>
        <v>45878</v>
      </c>
      <c r="D196" s="7">
        <f t="shared" si="34"/>
        <v>490186</v>
      </c>
      <c r="E196" s="7"/>
      <c r="F196" s="7">
        <f t="shared" si="35"/>
        <v>886649</v>
      </c>
      <c r="G196" s="21">
        <v>0</v>
      </c>
      <c r="H196" s="21">
        <f t="shared" si="36"/>
        <v>9.2486371578234306E-4</v>
      </c>
      <c r="I196" s="21">
        <f t="shared" si="37"/>
        <v>9.2486371578234306E-4</v>
      </c>
      <c r="J196" s="21"/>
      <c r="K196" s="32">
        <v>360093</v>
      </c>
      <c r="L196" s="82">
        <v>47015</v>
      </c>
      <c r="M196" s="32">
        <v>59628</v>
      </c>
      <c r="N196" s="32">
        <v>466736</v>
      </c>
      <c r="O196" s="23">
        <v>0</v>
      </c>
      <c r="P196" s="23">
        <v>9.6155239735491098E-4</v>
      </c>
      <c r="Q196" s="23">
        <v>9.6155239735491098E-4</v>
      </c>
    </row>
    <row r="197" spans="1:17" x14ac:dyDescent="0.35">
      <c r="A197" s="25" t="str">
        <f>'Allocation schedule Non'!C158</f>
        <v>Hazard Independent Schools</v>
      </c>
      <c r="B197" s="7">
        <f>'2017 Prop share of contribs'!BT154</f>
        <v>535273</v>
      </c>
      <c r="C197" s="7">
        <f t="shared" si="33"/>
        <v>70047</v>
      </c>
      <c r="D197" s="7">
        <f t="shared" si="34"/>
        <v>748416</v>
      </c>
      <c r="E197" s="7"/>
      <c r="F197" s="7">
        <f t="shared" si="35"/>
        <v>1353736</v>
      </c>
      <c r="G197" s="21">
        <v>0</v>
      </c>
      <c r="H197" s="21">
        <f t="shared" si="36"/>
        <v>1.4120822412796111E-3</v>
      </c>
      <c r="I197" s="21">
        <f t="shared" si="37"/>
        <v>1.4120822412796111E-3</v>
      </c>
      <c r="J197" s="21"/>
      <c r="K197" s="32">
        <v>516869</v>
      </c>
      <c r="L197" s="82">
        <v>67485</v>
      </c>
      <c r="M197" s="32">
        <v>85589</v>
      </c>
      <c r="N197" s="32">
        <v>669943</v>
      </c>
      <c r="O197" s="23">
        <v>0</v>
      </c>
      <c r="P197" s="23">
        <v>1.3801920094896067E-3</v>
      </c>
      <c r="Q197" s="23">
        <v>1.3801920094896067E-3</v>
      </c>
    </row>
    <row r="198" spans="1:17" x14ac:dyDescent="0.35">
      <c r="A198" s="25" t="str">
        <f>'Allocation schedule Non'!C159</f>
        <v>Jackson City Schools</v>
      </c>
      <c r="B198" s="7">
        <f>'2017 Prop share of contribs'!BT155</f>
        <v>138247</v>
      </c>
      <c r="C198" s="7">
        <f t="shared" si="33"/>
        <v>18091</v>
      </c>
      <c r="D198" s="7">
        <f t="shared" si="34"/>
        <v>193296</v>
      </c>
      <c r="E198" s="7"/>
      <c r="F198" s="7">
        <f t="shared" si="35"/>
        <v>349634</v>
      </c>
      <c r="G198" s="21">
        <v>0</v>
      </c>
      <c r="H198" s="21">
        <f t="shared" si="36"/>
        <v>3.6470328213740016E-4</v>
      </c>
      <c r="I198" s="21">
        <f t="shared" si="37"/>
        <v>3.6470328213740016E-4</v>
      </c>
      <c r="J198" s="21"/>
      <c r="K198" s="32">
        <v>135089</v>
      </c>
      <c r="L198" s="82">
        <v>17638</v>
      </c>
      <c r="M198" s="32">
        <v>22369</v>
      </c>
      <c r="N198" s="32">
        <v>175096</v>
      </c>
      <c r="O198" s="23">
        <v>0</v>
      </c>
      <c r="P198" s="23">
        <v>3.6072636044199609E-4</v>
      </c>
      <c r="Q198" s="23">
        <v>3.6072636044199609E-4</v>
      </c>
    </row>
    <row r="199" spans="1:17" x14ac:dyDescent="0.35">
      <c r="A199" s="25" t="str">
        <f>'Allocation schedule Non'!C160</f>
        <v>Jenkins City Schools</v>
      </c>
      <c r="B199" s="7">
        <f>'2017 Prop share of contribs'!BT156</f>
        <v>262368</v>
      </c>
      <c r="C199" s="7">
        <f t="shared" si="33"/>
        <v>34334</v>
      </c>
      <c r="D199" s="7">
        <f t="shared" si="34"/>
        <v>366842</v>
      </c>
      <c r="E199" s="7"/>
      <c r="F199" s="7">
        <f t="shared" si="35"/>
        <v>663544</v>
      </c>
      <c r="G199" s="21">
        <v>0</v>
      </c>
      <c r="H199" s="21">
        <f t="shared" si="36"/>
        <v>6.9214285407763281E-4</v>
      </c>
      <c r="I199" s="21">
        <f t="shared" si="37"/>
        <v>6.9214285407763281E-4</v>
      </c>
      <c r="J199" s="21"/>
      <c r="K199" s="32">
        <v>282237</v>
      </c>
      <c r="L199" s="82">
        <v>36850</v>
      </c>
      <c r="M199" s="32">
        <v>46736</v>
      </c>
      <c r="N199" s="32">
        <v>365823</v>
      </c>
      <c r="O199" s="23">
        <v>0</v>
      </c>
      <c r="P199" s="23">
        <v>7.5365513407486373E-4</v>
      </c>
      <c r="Q199" s="23">
        <v>7.5365513407486373E-4</v>
      </c>
    </row>
    <row r="200" spans="1:17" x14ac:dyDescent="0.35">
      <c r="A200" s="25" t="str">
        <f>'Allocation schedule Non'!C161</f>
        <v>Ludlow City Schools</v>
      </c>
      <c r="B200" s="7">
        <f>'2017 Prop share of contribs'!BT157</f>
        <v>529151</v>
      </c>
      <c r="C200" s="7">
        <f t="shared" si="33"/>
        <v>69246</v>
      </c>
      <c r="D200" s="7">
        <f t="shared" si="34"/>
        <v>739856</v>
      </c>
      <c r="E200" s="7"/>
      <c r="F200" s="7">
        <f t="shared" si="35"/>
        <v>1338253</v>
      </c>
      <c r="G200" s="21">
        <v>0</v>
      </c>
      <c r="H200" s="21">
        <f t="shared" si="36"/>
        <v>1.3959319214670834E-3</v>
      </c>
      <c r="I200" s="21">
        <f t="shared" si="37"/>
        <v>1.3959319214670834E-3</v>
      </c>
      <c r="J200" s="21"/>
      <c r="K200" s="32">
        <v>514710</v>
      </c>
      <c r="L200" s="82">
        <v>67203</v>
      </c>
      <c r="M200" s="32">
        <v>85231</v>
      </c>
      <c r="N200" s="32">
        <v>667144</v>
      </c>
      <c r="O200" s="23">
        <v>0</v>
      </c>
      <c r="P200" s="23">
        <v>1.3744256122967689E-3</v>
      </c>
      <c r="Q200" s="23">
        <v>1.3744256122967689E-3</v>
      </c>
    </row>
    <row r="201" spans="1:17" x14ac:dyDescent="0.35">
      <c r="A201" s="25" t="str">
        <f>'Allocation schedule Non'!C162</f>
        <v>Mayfield City Schools</v>
      </c>
      <c r="B201" s="7">
        <f>'2017 Prop share of contribs'!BT158</f>
        <v>855943</v>
      </c>
      <c r="C201" s="7">
        <f t="shared" si="33"/>
        <v>112011</v>
      </c>
      <c r="D201" s="7">
        <f t="shared" si="34"/>
        <v>1196775</v>
      </c>
      <c r="E201" s="7"/>
      <c r="F201" s="7">
        <f t="shared" si="35"/>
        <v>2164729</v>
      </c>
      <c r="G201" s="21">
        <v>0</v>
      </c>
      <c r="H201" s="21">
        <f t="shared" si="36"/>
        <v>2.2580291711847594E-3</v>
      </c>
      <c r="I201" s="21">
        <f t="shared" si="37"/>
        <v>2.2580291711847594E-3</v>
      </c>
      <c r="J201" s="21"/>
      <c r="K201" s="32">
        <v>884307</v>
      </c>
      <c r="L201" s="82">
        <v>115459</v>
      </c>
      <c r="M201" s="32">
        <v>146433</v>
      </c>
      <c r="N201" s="32">
        <v>1146199</v>
      </c>
      <c r="O201" s="23">
        <v>0</v>
      </c>
      <c r="P201" s="23">
        <v>2.3613571618555278E-3</v>
      </c>
      <c r="Q201" s="23">
        <v>2.3613571618555278E-3</v>
      </c>
    </row>
    <row r="202" spans="1:17" x14ac:dyDescent="0.35">
      <c r="A202" s="25" t="str">
        <f>'Allocation schedule Non'!C163</f>
        <v>Middlesboro City Schools</v>
      </c>
      <c r="B202" s="7">
        <f>'2017 Prop share of contribs'!BT159</f>
        <v>601167</v>
      </c>
      <c r="C202" s="7">
        <f t="shared" si="33"/>
        <v>78670</v>
      </c>
      <c r="D202" s="7">
        <f t="shared" si="34"/>
        <v>840549</v>
      </c>
      <c r="E202" s="7"/>
      <c r="F202" s="7">
        <f t="shared" si="35"/>
        <v>1520386</v>
      </c>
      <c r="G202" s="21">
        <v>0</v>
      </c>
      <c r="H202" s="21">
        <f t="shared" si="36"/>
        <v>1.5859148833229986E-3</v>
      </c>
      <c r="I202" s="21">
        <f t="shared" si="37"/>
        <v>1.5859148833229986E-3</v>
      </c>
      <c r="J202" s="21"/>
      <c r="K202" s="32">
        <v>604916</v>
      </c>
      <c r="L202" s="82">
        <v>78980</v>
      </c>
      <c r="M202" s="32">
        <v>100168</v>
      </c>
      <c r="N202" s="32">
        <v>784064</v>
      </c>
      <c r="O202" s="23">
        <v>0</v>
      </c>
      <c r="P202" s="23">
        <v>1.6152999101840889E-3</v>
      </c>
      <c r="Q202" s="23">
        <v>1.6152999101840889E-3</v>
      </c>
    </row>
    <row r="203" spans="1:17" x14ac:dyDescent="0.35">
      <c r="A203" s="25" t="str">
        <f>'Allocation schedule Non'!C164</f>
        <v>Murray City Schools</v>
      </c>
      <c r="B203" s="7">
        <f>'2017 Prop share of contribs'!BT160</f>
        <v>850276</v>
      </c>
      <c r="C203" s="7">
        <f t="shared" si="33"/>
        <v>111269</v>
      </c>
      <c r="D203" s="7">
        <f t="shared" si="34"/>
        <v>1188852</v>
      </c>
      <c r="E203" s="7"/>
      <c r="F203" s="7">
        <f t="shared" si="35"/>
        <v>2150397</v>
      </c>
      <c r="G203" s="21">
        <v>0</v>
      </c>
      <c r="H203" s="21">
        <f t="shared" si="36"/>
        <v>2.2430794596590121E-3</v>
      </c>
      <c r="I203" s="21">
        <f t="shared" si="37"/>
        <v>2.2430794596590121E-3</v>
      </c>
      <c r="J203" s="21"/>
      <c r="K203" s="32">
        <v>847975</v>
      </c>
      <c r="L203" s="82">
        <v>110715</v>
      </c>
      <c r="M203" s="32">
        <v>140416</v>
      </c>
      <c r="N203" s="32">
        <v>1099106</v>
      </c>
      <c r="O203" s="23">
        <v>0</v>
      </c>
      <c r="P203" s="23">
        <v>2.2643378896146146E-3</v>
      </c>
      <c r="Q203" s="23">
        <v>2.2643378896146146E-3</v>
      </c>
    </row>
    <row r="204" spans="1:17" x14ac:dyDescent="0.35">
      <c r="A204" s="25" t="str">
        <f>'Allocation schedule Non'!C165</f>
        <v>Newport City Schools</v>
      </c>
      <c r="B204" s="7">
        <f>'2017 Prop share of contribs'!BT161</f>
        <v>1116889</v>
      </c>
      <c r="C204" s="7">
        <f t="shared" si="33"/>
        <v>146158</v>
      </c>
      <c r="D204" s="7">
        <f t="shared" si="34"/>
        <v>1561629</v>
      </c>
      <c r="E204" s="7"/>
      <c r="F204" s="7">
        <f t="shared" si="35"/>
        <v>2824676</v>
      </c>
      <c r="G204" s="21">
        <v>0</v>
      </c>
      <c r="H204" s="21">
        <f t="shared" si="36"/>
        <v>2.9464199939786833E-3</v>
      </c>
      <c r="I204" s="21">
        <f t="shared" si="37"/>
        <v>2.9464199939786833E-3</v>
      </c>
      <c r="J204" s="21"/>
      <c r="K204" s="32">
        <v>1154702</v>
      </c>
      <c r="L204" s="82">
        <v>150763</v>
      </c>
      <c r="M204" s="32">
        <v>191208</v>
      </c>
      <c r="N204" s="32">
        <v>1496673</v>
      </c>
      <c r="O204" s="23">
        <v>0</v>
      </c>
      <c r="P204" s="23">
        <v>3.083390848801821E-3</v>
      </c>
      <c r="Q204" s="23">
        <v>3.083390848801821E-3</v>
      </c>
    </row>
    <row r="205" spans="1:17" x14ac:dyDescent="0.35">
      <c r="A205" s="25" t="str">
        <f>'Allocation schedule Non'!C166</f>
        <v>Owensboro City Schools</v>
      </c>
      <c r="B205" s="7">
        <f>'2017 Prop share of contribs'!BT162</f>
        <v>2810501</v>
      </c>
      <c r="C205" s="7">
        <f t="shared" si="33"/>
        <v>367788</v>
      </c>
      <c r="D205" s="7">
        <f t="shared" si="34"/>
        <v>3929628</v>
      </c>
      <c r="E205" s="7"/>
      <c r="F205" s="7">
        <f t="shared" si="35"/>
        <v>7107917</v>
      </c>
      <c r="G205" s="21">
        <v>0</v>
      </c>
      <c r="H205" s="21">
        <f t="shared" si="36"/>
        <v>7.4142693761482664E-3</v>
      </c>
      <c r="I205" s="21">
        <f t="shared" si="37"/>
        <v>7.4142693761482664E-3</v>
      </c>
      <c r="J205" s="21"/>
      <c r="K205" s="32">
        <v>2701542</v>
      </c>
      <c r="L205" s="82">
        <v>352725</v>
      </c>
      <c r="M205" s="32">
        <v>447349</v>
      </c>
      <c r="N205" s="32">
        <v>3501616</v>
      </c>
      <c r="O205" s="23">
        <v>0</v>
      </c>
      <c r="P205" s="23">
        <v>7.2139009191841078E-3</v>
      </c>
      <c r="Q205" s="23">
        <v>7.2139009191841078E-3</v>
      </c>
    </row>
    <row r="206" spans="1:17" x14ac:dyDescent="0.35">
      <c r="A206" s="25" t="str">
        <f>'Allocation schedule Non'!C167</f>
        <v>Paducah City Schools</v>
      </c>
      <c r="B206" s="7">
        <f>'2017 Prop share of contribs'!BT163</f>
        <v>1603459</v>
      </c>
      <c r="C206" s="7">
        <f t="shared" si="33"/>
        <v>209832</v>
      </c>
      <c r="D206" s="7">
        <f t="shared" si="34"/>
        <v>2241948</v>
      </c>
      <c r="E206" s="7"/>
      <c r="F206" s="7">
        <f t="shared" si="35"/>
        <v>4055239</v>
      </c>
      <c r="G206" s="21">
        <v>0</v>
      </c>
      <c r="H206" s="21">
        <f t="shared" si="36"/>
        <v>4.2300204589702049E-3</v>
      </c>
      <c r="I206" s="21">
        <f t="shared" si="37"/>
        <v>4.2300204589702049E-3</v>
      </c>
      <c r="J206" s="21"/>
      <c r="K206" s="32">
        <v>1591411</v>
      </c>
      <c r="L206" s="82">
        <v>207782</v>
      </c>
      <c r="M206" s="32">
        <v>263522</v>
      </c>
      <c r="N206" s="32">
        <v>2062715</v>
      </c>
      <c r="O206" s="23">
        <v>0</v>
      </c>
      <c r="P206" s="23">
        <v>4.2495298269470006E-3</v>
      </c>
      <c r="Q206" s="23">
        <v>4.2495298269470006E-3</v>
      </c>
    </row>
    <row r="207" spans="1:17" x14ac:dyDescent="0.35">
      <c r="A207" s="25" t="str">
        <f>'Allocation schedule Non'!C168</f>
        <v>Paintsville City Schools</v>
      </c>
      <c r="B207" s="7">
        <f>'2017 Prop share of contribs'!BT164</f>
        <v>490666</v>
      </c>
      <c r="C207" s="7">
        <f t="shared" si="33"/>
        <v>64210</v>
      </c>
      <c r="D207" s="7">
        <f t="shared" si="34"/>
        <v>686047</v>
      </c>
      <c r="E207" s="7"/>
      <c r="F207" s="7">
        <f t="shared" si="35"/>
        <v>1240923</v>
      </c>
      <c r="G207" s="21">
        <v>0</v>
      </c>
      <c r="H207" s="21">
        <f t="shared" si="36"/>
        <v>1.2944069826727066E-3</v>
      </c>
      <c r="I207" s="21">
        <f t="shared" si="37"/>
        <v>1.2944069826727066E-3</v>
      </c>
      <c r="J207" s="21"/>
      <c r="K207" s="32">
        <v>487322</v>
      </c>
      <c r="L207" s="82">
        <v>63627</v>
      </c>
      <c r="M207" s="32">
        <v>80696</v>
      </c>
      <c r="N207" s="32">
        <v>631645</v>
      </c>
      <c r="O207" s="23">
        <v>0</v>
      </c>
      <c r="P207" s="23">
        <v>1.3012918738371216E-3</v>
      </c>
      <c r="Q207" s="23">
        <v>1.3012918738371216E-3</v>
      </c>
    </row>
    <row r="208" spans="1:17" x14ac:dyDescent="0.35">
      <c r="A208" s="25" t="str">
        <f>'Allocation schedule Non'!C169</f>
        <v>Paris City Schools</v>
      </c>
      <c r="B208" s="7">
        <f>'2017 Prop share of contribs'!BT165</f>
        <v>356849</v>
      </c>
      <c r="C208" s="7">
        <f t="shared" si="33"/>
        <v>46698</v>
      </c>
      <c r="D208" s="7">
        <f t="shared" si="34"/>
        <v>498944</v>
      </c>
      <c r="E208" s="7"/>
      <c r="F208" s="7">
        <f t="shared" si="35"/>
        <v>902491</v>
      </c>
      <c r="G208" s="21">
        <v>0</v>
      </c>
      <c r="H208" s="21">
        <f t="shared" si="36"/>
        <v>9.4138850855312825E-4</v>
      </c>
      <c r="I208" s="21">
        <f t="shared" si="37"/>
        <v>9.4138850855312825E-4</v>
      </c>
      <c r="J208" s="21"/>
      <c r="K208" s="32">
        <v>380414</v>
      </c>
      <c r="L208" s="82">
        <v>49669</v>
      </c>
      <c r="M208" s="32">
        <v>62993</v>
      </c>
      <c r="N208" s="32">
        <v>493076</v>
      </c>
      <c r="O208" s="23">
        <v>0</v>
      </c>
      <c r="P208" s="23">
        <v>1.0158170997698272E-3</v>
      </c>
      <c r="Q208" s="23">
        <v>1.0158170997698272E-3</v>
      </c>
    </row>
    <row r="209" spans="1:17" x14ac:dyDescent="0.35">
      <c r="A209" s="25" t="str">
        <f>'Allocation schedule Non'!C170</f>
        <v>Pikeville City Schools</v>
      </c>
      <c r="B209" s="7">
        <f>'2017 Prop share of contribs'!BT166</f>
        <v>819053</v>
      </c>
      <c r="C209" s="7">
        <f t="shared" ref="C209:C229" si="38">ROUND(B209/$B$230*$D$245,0)</f>
        <v>107183</v>
      </c>
      <c r="D209" s="7">
        <f t="shared" si="34"/>
        <v>1145196</v>
      </c>
      <c r="E209" s="7"/>
      <c r="F209" s="7">
        <f t="shared" ref="F209:F229" si="39">B209+C209+D209</f>
        <v>2071432</v>
      </c>
      <c r="G209" s="21">
        <v>0</v>
      </c>
      <c r="H209" s="21">
        <f t="shared" ref="H209:H229" si="40">F209/($B$234+$D$234+$C$234)</f>
        <v>2.1607110553448438E-3</v>
      </c>
      <c r="I209" s="21">
        <f t="shared" si="37"/>
        <v>2.1607110553448438E-3</v>
      </c>
      <c r="J209" s="21"/>
      <c r="K209" s="32">
        <v>791229</v>
      </c>
      <c r="L209" s="82">
        <v>103306</v>
      </c>
      <c r="M209" s="32">
        <v>131020</v>
      </c>
      <c r="N209" s="32">
        <v>1025555</v>
      </c>
      <c r="O209" s="23">
        <v>0</v>
      </c>
      <c r="P209" s="23">
        <v>2.1128108156844893E-3</v>
      </c>
      <c r="Q209" s="23">
        <v>2.1128108156844893E-3</v>
      </c>
    </row>
    <row r="210" spans="1:17" x14ac:dyDescent="0.35">
      <c r="A210" s="25" t="str">
        <f>'Allocation schedule Non'!C171</f>
        <v>Pineville City Schools</v>
      </c>
      <c r="B210" s="7">
        <f>'2017 Prop share of contribs'!BT167</f>
        <v>247791</v>
      </c>
      <c r="C210" s="7">
        <f t="shared" si="38"/>
        <v>32426</v>
      </c>
      <c r="D210" s="7">
        <f t="shared" si="34"/>
        <v>346460</v>
      </c>
      <c r="E210" s="7"/>
      <c r="F210" s="7">
        <f t="shared" si="39"/>
        <v>626677</v>
      </c>
      <c r="G210" s="21">
        <v>0</v>
      </c>
      <c r="H210" s="21">
        <f t="shared" si="40"/>
        <v>6.5368688039498316E-4</v>
      </c>
      <c r="I210" s="21">
        <f t="shared" si="37"/>
        <v>6.5368688039498316E-4</v>
      </c>
      <c r="J210" s="21"/>
      <c r="K210" s="32">
        <v>242931</v>
      </c>
      <c r="L210" s="82">
        <v>31718</v>
      </c>
      <c r="M210" s="32">
        <v>40227</v>
      </c>
      <c r="N210" s="32">
        <v>314876</v>
      </c>
      <c r="O210" s="23">
        <v>0</v>
      </c>
      <c r="P210" s="23">
        <v>6.4869599231583792E-4</v>
      </c>
      <c r="Q210" s="23">
        <v>6.4869599231583792E-4</v>
      </c>
    </row>
    <row r="211" spans="1:17" x14ac:dyDescent="0.35">
      <c r="A211" s="25" t="str">
        <f>'Allocation schedule Non'!C172</f>
        <v>Raceland City Schools</v>
      </c>
      <c r="B211" s="7">
        <f>'2017 Prop share of contribs'!BT168</f>
        <v>540755</v>
      </c>
      <c r="C211" s="7">
        <f t="shared" si="38"/>
        <v>70764</v>
      </c>
      <c r="D211" s="7">
        <f t="shared" si="34"/>
        <v>756081</v>
      </c>
      <c r="E211" s="7"/>
      <c r="F211" s="7">
        <f t="shared" si="39"/>
        <v>1367600</v>
      </c>
      <c r="G211" s="21">
        <v>0</v>
      </c>
      <c r="H211" s="21">
        <f t="shared" si="40"/>
        <v>1.4265437819294133E-3</v>
      </c>
      <c r="I211" s="21">
        <f t="shared" si="37"/>
        <v>1.4265437819294133E-3</v>
      </c>
      <c r="J211" s="21"/>
      <c r="K211" s="32">
        <v>547391</v>
      </c>
      <c r="L211" s="82">
        <v>71470</v>
      </c>
      <c r="M211" s="32">
        <v>90643</v>
      </c>
      <c r="N211" s="32">
        <v>709504</v>
      </c>
      <c r="O211" s="23">
        <v>0</v>
      </c>
      <c r="P211" s="23">
        <v>1.4616941314423973E-3</v>
      </c>
      <c r="Q211" s="23">
        <v>1.4616941314423973E-3</v>
      </c>
    </row>
    <row r="212" spans="1:17" x14ac:dyDescent="0.35">
      <c r="A212" s="25" t="str">
        <f>'Allocation schedule Non'!C173</f>
        <v>Russell City Schools</v>
      </c>
      <c r="B212" s="7">
        <f>'2017 Prop share of contribs'!BT169</f>
        <v>1234026</v>
      </c>
      <c r="C212" s="7">
        <f t="shared" si="38"/>
        <v>161487</v>
      </c>
      <c r="D212" s="7">
        <f t="shared" si="34"/>
        <v>1725409</v>
      </c>
      <c r="E212" s="7"/>
      <c r="F212" s="7">
        <f t="shared" si="39"/>
        <v>3120922</v>
      </c>
      <c r="G212" s="21">
        <v>0</v>
      </c>
      <c r="H212" s="21">
        <f t="shared" si="40"/>
        <v>3.255434244652463E-3</v>
      </c>
      <c r="I212" s="21">
        <f t="shared" si="37"/>
        <v>3.255434244652463E-3</v>
      </c>
      <c r="J212" s="21"/>
      <c r="K212" s="32">
        <v>1213579</v>
      </c>
      <c r="L212" s="82">
        <v>158450</v>
      </c>
      <c r="M212" s="32">
        <v>200957</v>
      </c>
      <c r="N212" s="32">
        <v>1572986</v>
      </c>
      <c r="O212" s="23">
        <v>0</v>
      </c>
      <c r="P212" s="23">
        <v>3.2406080938811492E-3</v>
      </c>
      <c r="Q212" s="23">
        <v>3.2406080938811492E-3</v>
      </c>
    </row>
    <row r="213" spans="1:17" x14ac:dyDescent="0.35">
      <c r="A213" s="25" t="str">
        <f>'Allocation schedule Non'!C174</f>
        <v>Russellville City Schools</v>
      </c>
      <c r="B213" s="7">
        <f>'2017 Prop share of contribs'!BT170</f>
        <v>525584</v>
      </c>
      <c r="C213" s="7">
        <f t="shared" si="38"/>
        <v>68779</v>
      </c>
      <c r="D213" s="7">
        <f t="shared" si="34"/>
        <v>734869</v>
      </c>
      <c r="E213" s="7"/>
      <c r="F213" s="7">
        <f t="shared" si="39"/>
        <v>1329232</v>
      </c>
      <c r="G213" s="21">
        <v>0</v>
      </c>
      <c r="H213" s="21">
        <f t="shared" si="40"/>
        <v>1.3865221149031866E-3</v>
      </c>
      <c r="I213" s="21">
        <f t="shared" si="37"/>
        <v>1.3865221149031866E-3</v>
      </c>
      <c r="J213" s="21"/>
      <c r="K213" s="32">
        <v>504629</v>
      </c>
      <c r="L213" s="82">
        <v>65887</v>
      </c>
      <c r="M213" s="32">
        <v>83562</v>
      </c>
      <c r="N213" s="32">
        <v>654078</v>
      </c>
      <c r="O213" s="23">
        <v>0</v>
      </c>
      <c r="P213" s="23">
        <v>1.347507518076826E-3</v>
      </c>
      <c r="Q213" s="23">
        <v>1.347507518076826E-3</v>
      </c>
    </row>
    <row r="214" spans="1:17" x14ac:dyDescent="0.35">
      <c r="A214" s="25" t="str">
        <f>'Allocation schedule Non'!C175</f>
        <v>Science Hill City Schools</v>
      </c>
      <c r="B214" s="7">
        <f>'2017 Prop share of contribs'!BT171</f>
        <v>224178</v>
      </c>
      <c r="C214" s="7">
        <f t="shared" si="38"/>
        <v>29336</v>
      </c>
      <c r="D214" s="7">
        <f t="shared" si="34"/>
        <v>313445</v>
      </c>
      <c r="E214" s="7"/>
      <c r="F214" s="7">
        <f t="shared" si="39"/>
        <v>566959</v>
      </c>
      <c r="G214" s="21">
        <v>0</v>
      </c>
      <c r="H214" s="21">
        <f t="shared" si="40"/>
        <v>5.9139502490415197E-4</v>
      </c>
      <c r="I214" s="21">
        <f t="shared" si="37"/>
        <v>5.9139502490415197E-4</v>
      </c>
      <c r="J214" s="21"/>
      <c r="K214" s="32">
        <v>218954</v>
      </c>
      <c r="L214" s="82">
        <v>28588</v>
      </c>
      <c r="M214" s="32">
        <v>36257</v>
      </c>
      <c r="N214" s="32">
        <v>283799</v>
      </c>
      <c r="O214" s="23">
        <v>0</v>
      </c>
      <c r="P214" s="23">
        <v>5.8467229615227106E-4</v>
      </c>
      <c r="Q214" s="23">
        <v>5.8467229615227106E-4</v>
      </c>
    </row>
    <row r="215" spans="1:17" x14ac:dyDescent="0.35">
      <c r="A215" s="25" t="str">
        <f>'Allocation schedule Non'!C176</f>
        <v>Silver Grove City Schools</v>
      </c>
      <c r="B215" s="7">
        <f>'2017 Prop share of contribs'!BT172</f>
        <v>140709</v>
      </c>
      <c r="C215" s="7">
        <f t="shared" si="38"/>
        <v>18413</v>
      </c>
      <c r="D215" s="7">
        <f t="shared" si="34"/>
        <v>196739</v>
      </c>
      <c r="E215" s="7"/>
      <c r="F215" s="7">
        <f t="shared" si="39"/>
        <v>355861</v>
      </c>
      <c r="G215" s="21">
        <v>0</v>
      </c>
      <c r="H215" s="21">
        <f t="shared" si="40"/>
        <v>3.7119866684789628E-4</v>
      </c>
      <c r="I215" s="21">
        <f t="shared" si="37"/>
        <v>3.7119866684789628E-4</v>
      </c>
      <c r="J215" s="21"/>
      <c r="K215" s="32">
        <v>151067</v>
      </c>
      <c r="L215" s="82">
        <v>19724</v>
      </c>
      <c r="M215" s="32">
        <v>25015</v>
      </c>
      <c r="N215" s="32">
        <v>195806</v>
      </c>
      <c r="O215" s="23">
        <v>0</v>
      </c>
      <c r="P215" s="23">
        <v>4.0339234324430877E-4</v>
      </c>
      <c r="Q215" s="23">
        <v>4.0339234324430877E-4</v>
      </c>
    </row>
    <row r="216" spans="1:17" x14ac:dyDescent="0.35">
      <c r="A216" s="25" t="str">
        <f>'Allocation schedule Non'!C177</f>
        <v>Somerset City Schools</v>
      </c>
      <c r="B216" s="7">
        <f>'2017 Prop share of contribs'!BT173</f>
        <v>864391</v>
      </c>
      <c r="C216" s="7">
        <f t="shared" si="38"/>
        <v>113116</v>
      </c>
      <c r="D216" s="7">
        <f t="shared" si="34"/>
        <v>1208587</v>
      </c>
      <c r="E216" s="7"/>
      <c r="F216" s="7">
        <f t="shared" si="39"/>
        <v>2186094</v>
      </c>
      <c r="G216" s="21">
        <v>0</v>
      </c>
      <c r="H216" s="21">
        <f t="shared" si="40"/>
        <v>2.280315006151798E-3</v>
      </c>
      <c r="I216" s="21">
        <f t="shared" si="37"/>
        <v>2.280315006151798E-3</v>
      </c>
      <c r="J216" s="21"/>
      <c r="K216" s="32">
        <v>847217</v>
      </c>
      <c r="L216" s="82">
        <v>110616</v>
      </c>
      <c r="M216" s="32">
        <v>140291</v>
      </c>
      <c r="N216" s="32">
        <v>1098124</v>
      </c>
      <c r="O216" s="23">
        <v>0</v>
      </c>
      <c r="P216" s="23">
        <v>2.262314809213269E-3</v>
      </c>
      <c r="Q216" s="23">
        <v>2.262314809213269E-3</v>
      </c>
    </row>
    <row r="217" spans="1:17" x14ac:dyDescent="0.35">
      <c r="A217" s="25" t="str">
        <f>'Allocation schedule Non'!C178</f>
        <v>Southgate City Schools</v>
      </c>
      <c r="B217" s="7">
        <f>'2017 Prop share of contribs'!BT174</f>
        <v>123083</v>
      </c>
      <c r="C217" s="7">
        <f t="shared" si="38"/>
        <v>16107</v>
      </c>
      <c r="D217" s="7">
        <f t="shared" si="34"/>
        <v>172094</v>
      </c>
      <c r="E217" s="7"/>
      <c r="F217" s="7">
        <f t="shared" si="39"/>
        <v>311284</v>
      </c>
      <c r="G217" s="21">
        <v>0</v>
      </c>
      <c r="H217" s="21">
        <f t="shared" si="40"/>
        <v>3.2470039091409442E-4</v>
      </c>
      <c r="I217" s="21">
        <f t="shared" si="37"/>
        <v>3.2470039091409442E-4</v>
      </c>
      <c r="J217" s="21"/>
      <c r="K217" s="32">
        <v>117306</v>
      </c>
      <c r="L217" s="82">
        <v>15316</v>
      </c>
      <c r="M217" s="32">
        <v>19425</v>
      </c>
      <c r="N217" s="32">
        <v>152047</v>
      </c>
      <c r="O217" s="23">
        <v>0</v>
      </c>
      <c r="P217" s="23">
        <v>3.1324165558393216E-4</v>
      </c>
      <c r="Q217" s="23">
        <v>3.1324165558393216E-4</v>
      </c>
    </row>
    <row r="218" spans="1:17" x14ac:dyDescent="0.35">
      <c r="A218" s="25" t="str">
        <f>'Allocation schedule Non'!C179</f>
        <v>Walton-Verona Independent Schools</v>
      </c>
      <c r="B218" s="7">
        <f>'2017 Prop share of contribs'!BT175</f>
        <v>954074</v>
      </c>
      <c r="C218" s="7">
        <f t="shared" si="38"/>
        <v>124852</v>
      </c>
      <c r="D218" s="7">
        <f t="shared" si="34"/>
        <v>1333982</v>
      </c>
      <c r="E218" s="7"/>
      <c r="F218" s="7">
        <f t="shared" si="39"/>
        <v>2412908</v>
      </c>
      <c r="G218" s="21">
        <v>0</v>
      </c>
      <c r="H218" s="21">
        <f t="shared" si="40"/>
        <v>2.5169047263583918E-3</v>
      </c>
      <c r="I218" s="21">
        <f t="shared" si="37"/>
        <v>2.5169047263583918E-3</v>
      </c>
      <c r="J218" s="21"/>
      <c r="K218" s="32">
        <v>919667</v>
      </c>
      <c r="L218" s="82">
        <v>120076</v>
      </c>
      <c r="M218" s="32">
        <v>152288</v>
      </c>
      <c r="N218" s="32">
        <v>1192031</v>
      </c>
      <c r="O218" s="23">
        <v>0</v>
      </c>
      <c r="P218" s="23">
        <v>2.4557785681228188E-3</v>
      </c>
      <c r="Q218" s="23">
        <v>2.4557785681228188E-3</v>
      </c>
    </row>
    <row r="219" spans="1:17" x14ac:dyDescent="0.35">
      <c r="A219" s="25" t="str">
        <f>'Allocation schedule Non'!C180</f>
        <v>West Point City Schools</v>
      </c>
      <c r="B219" s="7">
        <f>'2017 Prop share of contribs'!BT176</f>
        <v>85130</v>
      </c>
      <c r="C219" s="7">
        <f t="shared" si="38"/>
        <v>11140</v>
      </c>
      <c r="D219" s="7">
        <f t="shared" si="34"/>
        <v>119028</v>
      </c>
      <c r="E219" s="7"/>
      <c r="F219" s="7">
        <f t="shared" si="39"/>
        <v>215298</v>
      </c>
      <c r="G219" s="21">
        <v>0</v>
      </c>
      <c r="H219" s="21">
        <f t="shared" si="40"/>
        <v>2.2457737873781721E-4</v>
      </c>
      <c r="I219" s="21">
        <f t="shared" si="37"/>
        <v>2.2457737873781721E-4</v>
      </c>
      <c r="J219" s="21"/>
      <c r="K219" s="32">
        <v>81458</v>
      </c>
      <c r="L219" s="82">
        <v>10636</v>
      </c>
      <c r="M219" s="32">
        <v>13489</v>
      </c>
      <c r="N219" s="32">
        <v>105583</v>
      </c>
      <c r="O219" s="23">
        <v>0</v>
      </c>
      <c r="P219" s="23">
        <v>2.175182260848179E-4</v>
      </c>
      <c r="Q219" s="23">
        <v>2.175182260848179E-4</v>
      </c>
    </row>
    <row r="220" spans="1:17" x14ac:dyDescent="0.35">
      <c r="A220" s="25" t="str">
        <f>'Allocation schedule Non'!C181</f>
        <v>Williamsburg City Schools</v>
      </c>
      <c r="B220" s="7">
        <f>'2017 Prop share of contribs'!BT177</f>
        <v>404493</v>
      </c>
      <c r="C220" s="7">
        <f t="shared" si="38"/>
        <v>52933</v>
      </c>
      <c r="D220" s="7">
        <f t="shared" si="34"/>
        <v>565560</v>
      </c>
      <c r="E220" s="7"/>
      <c r="F220" s="7">
        <f t="shared" si="39"/>
        <v>1022986</v>
      </c>
      <c r="G220" s="21">
        <v>0</v>
      </c>
      <c r="H220" s="21">
        <f t="shared" si="40"/>
        <v>1.0670768626066414E-3</v>
      </c>
      <c r="I220" s="21">
        <f t="shared" si="37"/>
        <v>1.0670768626066414E-3</v>
      </c>
      <c r="J220" s="21"/>
      <c r="K220" s="32">
        <v>399106</v>
      </c>
      <c r="L220" s="82">
        <v>52109</v>
      </c>
      <c r="M220" s="32">
        <v>66088</v>
      </c>
      <c r="N220" s="32">
        <v>517303</v>
      </c>
      <c r="O220" s="23">
        <v>0</v>
      </c>
      <c r="P220" s="23">
        <v>1.0657286770441696E-3</v>
      </c>
      <c r="Q220" s="23">
        <v>1.0657286770441696E-3</v>
      </c>
    </row>
    <row r="221" spans="1:17" x14ac:dyDescent="0.35">
      <c r="A221" s="25" t="str">
        <f>'Allocation schedule Non'!C182</f>
        <v>Williamstown City Schools</v>
      </c>
      <c r="B221" s="7">
        <f>'2017 Prop share of contribs'!BT178</f>
        <v>392803</v>
      </c>
      <c r="C221" s="7">
        <f t="shared" si="38"/>
        <v>51403</v>
      </c>
      <c r="D221" s="7">
        <f t="shared" si="34"/>
        <v>549215</v>
      </c>
      <c r="E221" s="7"/>
      <c r="F221" s="7">
        <f t="shared" si="39"/>
        <v>993421</v>
      </c>
      <c r="G221" s="21">
        <v>0</v>
      </c>
      <c r="H221" s="21">
        <f t="shared" si="40"/>
        <v>1.0362376063089351E-3</v>
      </c>
      <c r="I221" s="21">
        <f t="shared" si="37"/>
        <v>1.0362376063089351E-3</v>
      </c>
      <c r="J221" s="21"/>
      <c r="K221" s="32">
        <v>405147</v>
      </c>
      <c r="L221" s="82">
        <v>52898</v>
      </c>
      <c r="M221" s="32">
        <v>67088</v>
      </c>
      <c r="N221" s="32">
        <v>525133</v>
      </c>
      <c r="O221" s="23">
        <v>0</v>
      </c>
      <c r="P221" s="23">
        <v>1.0818597560080568E-3</v>
      </c>
      <c r="Q221" s="23">
        <v>1.0818597560080568E-3</v>
      </c>
    </row>
    <row r="222" spans="1:17" x14ac:dyDescent="0.35">
      <c r="A222" s="25" t="str">
        <f>'Allocation schedule Non'!C202</f>
        <v>Ohio Valley Educational Cooperative</v>
      </c>
      <c r="B222" s="7">
        <f>'2017 Prop share of contribs'!BT205</f>
        <v>236559</v>
      </c>
      <c r="C222" s="7">
        <f t="shared" si="38"/>
        <v>30957</v>
      </c>
      <c r="D222" s="7">
        <f t="shared" si="34"/>
        <v>330756</v>
      </c>
      <c r="E222" s="7"/>
      <c r="F222" s="7">
        <f t="shared" si="39"/>
        <v>598272</v>
      </c>
      <c r="G222" s="21">
        <v>0</v>
      </c>
      <c r="H222" s="21">
        <f>F222/($B$234+$D$234+$C$234)</f>
        <v>6.2405762028551763E-4</v>
      </c>
      <c r="I222" s="21">
        <f t="shared" si="37"/>
        <v>6.2405762028551763E-4</v>
      </c>
      <c r="J222" s="21"/>
      <c r="K222" s="32">
        <v>286488</v>
      </c>
      <c r="L222" s="82">
        <v>37405</v>
      </c>
      <c r="M222" s="32">
        <v>47440</v>
      </c>
      <c r="N222" s="32">
        <v>371333</v>
      </c>
      <c r="O222" s="23">
        <v>0</v>
      </c>
      <c r="P222" s="23">
        <v>7.6500663408648822E-4</v>
      </c>
      <c r="Q222" s="23">
        <v>7.6500663408648822E-4</v>
      </c>
    </row>
    <row r="223" spans="1:17" x14ac:dyDescent="0.35">
      <c r="A223" s="25" t="str">
        <f>'Allocation schedule Non'!C203</f>
        <v>West Kentucky Educational Cooperative</v>
      </c>
      <c r="B223" s="7">
        <f>'2017 Prop share of contribs'!BT206</f>
        <v>118104</v>
      </c>
      <c r="C223" s="7">
        <f t="shared" si="38"/>
        <v>15455</v>
      </c>
      <c r="D223" s="7">
        <f t="shared" si="34"/>
        <v>165132</v>
      </c>
      <c r="E223" s="7"/>
      <c r="F223" s="7">
        <f t="shared" si="39"/>
        <v>298691</v>
      </c>
      <c r="G223" s="21">
        <v>0</v>
      </c>
      <c r="H223" s="21">
        <f t="shared" si="40"/>
        <v>3.1156463057054577E-4</v>
      </c>
      <c r="I223" s="21">
        <f t="shared" si="37"/>
        <v>3.1156463057054577E-4</v>
      </c>
      <c r="J223" s="21"/>
      <c r="K223" s="32">
        <v>131462</v>
      </c>
      <c r="L223" s="82">
        <v>17164</v>
      </c>
      <c r="M223" s="32">
        <v>21769</v>
      </c>
      <c r="N223" s="32">
        <v>170395</v>
      </c>
      <c r="O223" s="23">
        <v>0</v>
      </c>
      <c r="P223" s="23">
        <v>3.5104153257363918E-4</v>
      </c>
      <c r="Q223" s="23">
        <v>3.5104153257363918E-4</v>
      </c>
    </row>
    <row r="224" spans="1:17" x14ac:dyDescent="0.35">
      <c r="A224" s="25" t="str">
        <f>'Allocation schedule Non'!C204</f>
        <v>Southeast South-Central Educational Cooperative</v>
      </c>
      <c r="B224" s="7">
        <f>'2017 Prop share of contribs'!BT207</f>
        <v>22221</v>
      </c>
      <c r="C224" s="7">
        <f t="shared" si="38"/>
        <v>2908</v>
      </c>
      <c r="D224" s="7">
        <f t="shared" si="34"/>
        <v>31069</v>
      </c>
      <c r="E224" s="7"/>
      <c r="F224" s="7">
        <f t="shared" si="39"/>
        <v>56198</v>
      </c>
      <c r="G224" s="21">
        <v>0</v>
      </c>
      <c r="H224" s="21">
        <f t="shared" si="40"/>
        <v>5.8620142919617701E-5</v>
      </c>
      <c r="I224" s="21">
        <f t="shared" si="37"/>
        <v>5.8620142919617701E-5</v>
      </c>
      <c r="J224" s="21"/>
      <c r="K224" s="32">
        <v>20387</v>
      </c>
      <c r="L224" s="82">
        <v>2662</v>
      </c>
      <c r="M224" s="32">
        <v>3376</v>
      </c>
      <c r="N224" s="32">
        <v>26425</v>
      </c>
      <c r="O224" s="23">
        <v>0</v>
      </c>
      <c r="P224" s="23">
        <v>5.4439816298943132E-5</v>
      </c>
      <c r="Q224" s="23">
        <v>5.4439816298943132E-5</v>
      </c>
    </row>
    <row r="225" spans="1:17" x14ac:dyDescent="0.35">
      <c r="A225" s="25" t="str">
        <f>'Allocation schedule Non'!C205</f>
        <v>Green River Regional Educational Cooperative</v>
      </c>
      <c r="B225" s="7">
        <f>'2017 Prop share of contribs'!BT208</f>
        <v>125524</v>
      </c>
      <c r="C225" s="7">
        <f t="shared" si="38"/>
        <v>16426</v>
      </c>
      <c r="D225" s="7">
        <f t="shared" si="34"/>
        <v>175507</v>
      </c>
      <c r="E225" s="7"/>
      <c r="F225" s="7">
        <f t="shared" si="39"/>
        <v>317457</v>
      </c>
      <c r="G225" s="21">
        <v>0</v>
      </c>
      <c r="H225" s="21">
        <f t="shared" si="40"/>
        <v>3.3113944821582756E-4</v>
      </c>
      <c r="I225" s="21">
        <f t="shared" si="37"/>
        <v>3.3113944821582756E-4</v>
      </c>
      <c r="J225" s="21"/>
      <c r="K225" s="32">
        <v>140184</v>
      </c>
      <c r="L225" s="82">
        <v>18303</v>
      </c>
      <c r="M225" s="32">
        <v>23213</v>
      </c>
      <c r="N225" s="32">
        <v>181700</v>
      </c>
      <c r="O225" s="23">
        <v>0</v>
      </c>
      <c r="P225" s="23">
        <v>3.7433167914921353E-4</v>
      </c>
      <c r="Q225" s="23">
        <v>3.7433167914921353E-4</v>
      </c>
    </row>
    <row r="226" spans="1:17" x14ac:dyDescent="0.35">
      <c r="A226" s="25" t="str">
        <f>'Allocation schedule Non'!C206</f>
        <v>Central KY Special Education Cooperative</v>
      </c>
      <c r="B226" s="7">
        <f>'2017 Prop share of contribs'!BT209</f>
        <v>66440</v>
      </c>
      <c r="C226" s="7">
        <f t="shared" si="38"/>
        <v>8694</v>
      </c>
      <c r="D226" s="7">
        <f t="shared" si="34"/>
        <v>92896</v>
      </c>
      <c r="E226" s="7"/>
      <c r="F226" s="7">
        <f t="shared" si="39"/>
        <v>168030</v>
      </c>
      <c r="G226" s="21">
        <v>0</v>
      </c>
      <c r="H226" s="21">
        <f t="shared" si="40"/>
        <v>1.7527212026732913E-4</v>
      </c>
      <c r="I226" s="21">
        <f t="shared" si="37"/>
        <v>1.7527212026732913E-4</v>
      </c>
      <c r="J226" s="21"/>
      <c r="K226" s="32">
        <v>48204</v>
      </c>
      <c r="L226" s="82">
        <v>6294</v>
      </c>
      <c r="M226" s="32">
        <v>7982</v>
      </c>
      <c r="N226" s="32">
        <v>62480</v>
      </c>
      <c r="O226" s="23">
        <v>0</v>
      </c>
      <c r="P226" s="23">
        <v>1.2871900557646042E-4</v>
      </c>
      <c r="Q226" s="23">
        <v>1.2871900557646042E-4</v>
      </c>
    </row>
    <row r="227" spans="1:17" x14ac:dyDescent="0.35">
      <c r="A227" s="25" t="str">
        <f>'Allocation schedule Non'!C207</f>
        <v>KY Valley Educational Cooperative</v>
      </c>
      <c r="B227" s="7">
        <f>'2017 Prop share of contribs'!BT210</f>
        <v>90433</v>
      </c>
      <c r="C227" s="7">
        <f t="shared" si="38"/>
        <v>11834</v>
      </c>
      <c r="D227" s="7">
        <f t="shared" si="34"/>
        <v>126443</v>
      </c>
      <c r="E227" s="7"/>
      <c r="F227" s="7">
        <f t="shared" si="39"/>
        <v>228710</v>
      </c>
      <c r="G227" s="21">
        <v>0</v>
      </c>
      <c r="H227" s="21">
        <f t="shared" si="40"/>
        <v>2.3856743811427033E-4</v>
      </c>
      <c r="I227" s="21">
        <f t="shared" si="37"/>
        <v>2.3856743811427033E-4</v>
      </c>
      <c r="J227" s="21"/>
      <c r="K227" s="32">
        <v>79827</v>
      </c>
      <c r="L227" s="82">
        <v>10423</v>
      </c>
      <c r="M227" s="32">
        <v>13219</v>
      </c>
      <c r="N227" s="32">
        <v>103469</v>
      </c>
      <c r="O227" s="23">
        <v>0</v>
      </c>
      <c r="P227" s="23">
        <v>2.1316304078090244E-4</v>
      </c>
      <c r="Q227" s="23">
        <v>2.1316304078090244E-4</v>
      </c>
    </row>
    <row r="228" spans="1:17" x14ac:dyDescent="0.35">
      <c r="A228" s="25" t="str">
        <f>'Allocation schedule Non'!C208</f>
        <v>KY Educational Development Corporation</v>
      </c>
      <c r="B228" s="7">
        <f>'2017 Prop share of contribs'!BT211</f>
        <v>204922</v>
      </c>
      <c r="C228" s="7">
        <f t="shared" si="38"/>
        <v>26817</v>
      </c>
      <c r="D228" s="7">
        <f t="shared" si="34"/>
        <v>286521</v>
      </c>
      <c r="E228" s="7"/>
      <c r="F228" s="7">
        <f t="shared" si="39"/>
        <v>518260</v>
      </c>
      <c r="G228" s="21">
        <v>0</v>
      </c>
      <c r="H228" s="21">
        <f t="shared" si="40"/>
        <v>5.4059709010144614E-4</v>
      </c>
      <c r="I228" s="21">
        <f t="shared" si="37"/>
        <v>5.4059709010144614E-4</v>
      </c>
      <c r="J228" s="21"/>
      <c r="K228" s="32">
        <v>207290</v>
      </c>
      <c r="L228" s="82">
        <v>27065</v>
      </c>
      <c r="M228" s="32">
        <v>34325</v>
      </c>
      <c r="N228" s="32">
        <v>268680</v>
      </c>
      <c r="O228" s="23">
        <v>0</v>
      </c>
      <c r="P228" s="23">
        <v>5.5352468659224379E-4</v>
      </c>
      <c r="Q228" s="23">
        <v>5.5352468659224379E-4</v>
      </c>
    </row>
    <row r="229" spans="1:17" x14ac:dyDescent="0.35">
      <c r="A229" s="25" t="str">
        <f>'Allocation schedule Non'!C209</f>
        <v>Northern KY Cooperative for Educational Services</v>
      </c>
      <c r="B229" s="7">
        <f>'2017 Prop share of contribs'!BT212</f>
        <v>165224</v>
      </c>
      <c r="C229" s="7">
        <f t="shared" si="38"/>
        <v>21622</v>
      </c>
      <c r="D229" s="7">
        <f t="shared" si="34"/>
        <v>231015</v>
      </c>
      <c r="E229" s="7"/>
      <c r="F229" s="7">
        <f t="shared" si="39"/>
        <v>417861</v>
      </c>
      <c r="G229" s="21">
        <v>0</v>
      </c>
      <c r="H229" s="21">
        <f t="shared" si="40"/>
        <v>4.3587087690904254E-4</v>
      </c>
      <c r="I229" s="21">
        <f t="shared" si="37"/>
        <v>4.3587087690904254E-4</v>
      </c>
      <c r="J229" s="21"/>
      <c r="K229" s="32">
        <v>170579</v>
      </c>
      <c r="L229" s="82">
        <v>22272</v>
      </c>
      <c r="M229" s="32">
        <v>28246</v>
      </c>
      <c r="N229" s="32">
        <v>221097</v>
      </c>
      <c r="O229" s="23">
        <v>0</v>
      </c>
      <c r="P229" s="23">
        <v>4.5549593431399926E-4</v>
      </c>
      <c r="Q229" s="23">
        <v>4.5549593431399926E-4</v>
      </c>
    </row>
    <row r="230" spans="1:17" x14ac:dyDescent="0.35">
      <c r="A230" s="18"/>
      <c r="B230" s="17">
        <f>SUM(B49:B229)</f>
        <v>369961191</v>
      </c>
      <c r="C230" s="15">
        <f t="shared" ref="C230:I230" si="41">SUM(C49:C229)</f>
        <v>48413900</v>
      </c>
      <c r="D230" s="15">
        <f t="shared" si="41"/>
        <v>517277892</v>
      </c>
      <c r="E230" s="15"/>
      <c r="F230" s="15">
        <f t="shared" si="41"/>
        <v>935652983</v>
      </c>
      <c r="G230" s="23">
        <f t="shared" si="41"/>
        <v>0</v>
      </c>
      <c r="H230" s="21">
        <f t="shared" si="41"/>
        <v>0.97597977840184047</v>
      </c>
      <c r="I230" s="23">
        <f t="shared" si="41"/>
        <v>0.97597977840184047</v>
      </c>
      <c r="J230" s="23"/>
      <c r="K230" s="15">
        <v>365399776</v>
      </c>
      <c r="L230" s="15">
        <v>47708200</v>
      </c>
      <c r="M230" s="15">
        <v>60506679</v>
      </c>
      <c r="N230" s="15">
        <v>473614655</v>
      </c>
      <c r="O230" s="23">
        <v>0</v>
      </c>
      <c r="P230" s="23">
        <v>0.97572355022468604</v>
      </c>
      <c r="Q230" s="23">
        <v>0.97572355022468604</v>
      </c>
    </row>
    <row r="231" spans="1:17" x14ac:dyDescent="0.35">
      <c r="A231" s="18"/>
      <c r="B231" s="15">
        <f>B230+B25+B43+B13</f>
        <v>412689796</v>
      </c>
      <c r="C231" s="91">
        <f t="shared" ref="C231" si="42">C230+C25+C43+C13</f>
        <v>48413900</v>
      </c>
      <c r="D231" s="92">
        <f>D230+D25+D43+D13</f>
        <v>557104700</v>
      </c>
      <c r="E231" s="92"/>
      <c r="F231" s="15">
        <f>F230+F25+F43+F13</f>
        <v>1018208396</v>
      </c>
      <c r="G231" s="23">
        <f t="shared" ref="G231:H231" si="43">G230+G25+G43</f>
        <v>1.0015959369896821E-2</v>
      </c>
      <c r="H231" s="23">
        <f t="shared" si="43"/>
        <v>0.98998404063010315</v>
      </c>
      <c r="I231" s="23">
        <f>I230+I25+I43</f>
        <v>1</v>
      </c>
      <c r="K231" s="32">
        <v>408992974</v>
      </c>
      <c r="L231" s="15">
        <v>47708200</v>
      </c>
      <c r="M231" s="15">
        <v>65336500</v>
      </c>
      <c r="N231" s="15">
        <v>522037674</v>
      </c>
      <c r="O231" s="23">
        <v>2.0827596250548041E-2</v>
      </c>
      <c r="P231" s="23">
        <v>0.97917240374945191</v>
      </c>
      <c r="Q231" s="23">
        <v>1</v>
      </c>
    </row>
    <row r="232" spans="1:17" x14ac:dyDescent="0.35">
      <c r="A232" s="18"/>
      <c r="B232" s="7"/>
      <c r="E232" s="15">
        <f>B230+C230+D230+D43+D25</f>
        <v>949078599</v>
      </c>
      <c r="H232" s="23"/>
      <c r="I232" s="23"/>
      <c r="K232" s="32"/>
      <c r="P232" s="23"/>
      <c r="Q232" s="23"/>
    </row>
    <row r="233" spans="1:17" ht="15.45" x14ac:dyDescent="0.5">
      <c r="A233" s="19" t="str">
        <f>'2017 Prop share of contribs'!B214</f>
        <v>Commonwealth of Kentucky</v>
      </c>
      <c r="B233" s="16">
        <f>'2017 Prop share of contribs'!BT214</f>
        <v>611455900</v>
      </c>
      <c r="H233" s="22"/>
      <c r="K233" s="32">
        <v>119587178</v>
      </c>
      <c r="P233" s="23"/>
    </row>
    <row r="234" spans="1:17" ht="15.45" x14ac:dyDescent="0.5">
      <c r="A234" s="11" t="s">
        <v>435</v>
      </c>
      <c r="B234" s="16">
        <f>B43+B230+B25</f>
        <v>379563298</v>
      </c>
      <c r="C234" s="16">
        <f>C43+C230+C25</f>
        <v>48413900</v>
      </c>
      <c r="D234" s="16">
        <f>D43+D230+D25</f>
        <v>530703508</v>
      </c>
      <c r="E234" s="16"/>
      <c r="F234" s="15" t="s">
        <v>303</v>
      </c>
      <c r="H234" s="24">
        <f>H233+H230+G25+G43</f>
        <v>0.98599573777173732</v>
      </c>
      <c r="K234" s="16">
        <v>375509458</v>
      </c>
      <c r="L234" s="16">
        <v>47708200</v>
      </c>
      <c r="M234" s="16">
        <v>62180747</v>
      </c>
      <c r="N234" s="11" t="s">
        <v>303</v>
      </c>
      <c r="P234" s="23">
        <v>0.99655114647523402</v>
      </c>
    </row>
    <row r="235" spans="1:17" ht="15.45" x14ac:dyDescent="0.5">
      <c r="A235" s="11" t="s">
        <v>421</v>
      </c>
      <c r="B235" s="20">
        <f>B234+B13+B233</f>
        <v>1024145696</v>
      </c>
      <c r="C235" s="7">
        <f>C230</f>
        <v>48413900</v>
      </c>
      <c r="D235" s="20">
        <f>D234+D13+D233</f>
        <v>557104700</v>
      </c>
      <c r="E235" s="20"/>
      <c r="F235" s="15">
        <f>C235+D235</f>
        <v>605518600</v>
      </c>
      <c r="K235" s="20">
        <v>528580152</v>
      </c>
      <c r="L235" s="7">
        <v>47708200</v>
      </c>
      <c r="M235" s="20">
        <v>65336500</v>
      </c>
      <c r="N235" s="15">
        <v>113044700</v>
      </c>
    </row>
    <row r="236" spans="1:17" x14ac:dyDescent="0.35">
      <c r="B236" s="32" t="s">
        <v>699</v>
      </c>
      <c r="C236" s="23"/>
      <c r="D236" s="11" t="s">
        <v>303</v>
      </c>
      <c r="F236" s="98">
        <f>B234+F235+B13</f>
        <v>1018208396</v>
      </c>
      <c r="G236" s="11" t="s">
        <v>422</v>
      </c>
      <c r="K236" s="32" t="s">
        <v>669</v>
      </c>
      <c r="L236" s="23"/>
      <c r="M236" s="11" t="s">
        <v>303</v>
      </c>
      <c r="N236" s="98">
        <v>522037674</v>
      </c>
      <c r="O236" s="11" t="s">
        <v>422</v>
      </c>
    </row>
    <row r="237" spans="1:17" x14ac:dyDescent="0.35">
      <c r="A237" s="11" t="s">
        <v>324</v>
      </c>
      <c r="B237" s="7">
        <f>ROUND('2017 Prop share of contribs'!BN2,0)</f>
        <v>1060719994</v>
      </c>
      <c r="C237" s="11">
        <f>C235-D245</f>
        <v>0</v>
      </c>
      <c r="D237" s="11">
        <f>D235-D244</f>
        <v>498537600</v>
      </c>
      <c r="F237" s="98">
        <f>B235-D246</f>
        <v>1018208396</v>
      </c>
      <c r="G237" s="96"/>
      <c r="H237" s="97"/>
      <c r="K237" s="7">
        <v>565454590</v>
      </c>
      <c r="L237" s="11">
        <v>0</v>
      </c>
      <c r="M237" s="11">
        <v>0</v>
      </c>
      <c r="N237" s="98">
        <v>522037674</v>
      </c>
    </row>
    <row r="238" spans="1:17" x14ac:dyDescent="0.35">
      <c r="B238" s="7"/>
      <c r="F238" s="11">
        <f>F236-F237</f>
        <v>0</v>
      </c>
      <c r="K238" s="32"/>
      <c r="N238" s="11">
        <v>0</v>
      </c>
    </row>
    <row r="239" spans="1:17" x14ac:dyDescent="0.35">
      <c r="A239" s="11" t="s">
        <v>325</v>
      </c>
      <c r="B239" s="7">
        <f>B237-B235</f>
        <v>36574298</v>
      </c>
      <c r="C239" s="11" t="s">
        <v>303</v>
      </c>
      <c r="D239" s="7">
        <v>112918300</v>
      </c>
      <c r="E239" s="7"/>
      <c r="F239" s="11" t="s">
        <v>327</v>
      </c>
      <c r="K239" s="7">
        <v>36874438</v>
      </c>
      <c r="L239" s="11" t="s">
        <v>303</v>
      </c>
      <c r="M239" s="7">
        <v>119587178</v>
      </c>
      <c r="N239" s="11" t="s">
        <v>327</v>
      </c>
    </row>
    <row r="240" spans="1:17" x14ac:dyDescent="0.35">
      <c r="A240" s="11" t="s">
        <v>326</v>
      </c>
      <c r="B240" s="7">
        <f>'2017 Prop share of contribs'!AI5+'2017 Prop share of contribs'!AL5+'2017 Prop share of contribs'!AM5+'2017 Prop share of contribs'!AN5+'2017 Prop share of contribs'!AY5+'2017 Prop share of contribs'!AZ5+'2017 Prop share of contribs'!BA5+'2017 Prop share of contribs'!BB5+'2017 Prop share of contribs'!BE5+'2017 Prop share of contribs'!BF5+'2017 Prop share of contribs'!BG5+'2017 Prop share of contribs'!BI5+'2017 Prop share of contribs'!BC5</f>
        <v>35871161.774005227</v>
      </c>
      <c r="D240" s="7">
        <v>498537600</v>
      </c>
      <c r="E240" s="7"/>
      <c r="F240" s="11" t="s">
        <v>700</v>
      </c>
      <c r="K240" s="32">
        <v>36232546.543515734</v>
      </c>
      <c r="M240" s="7">
        <v>59777300</v>
      </c>
      <c r="N240" s="11" t="s">
        <v>304</v>
      </c>
    </row>
    <row r="241" spans="1:17" x14ac:dyDescent="0.35">
      <c r="A241" s="11" t="s">
        <v>436</v>
      </c>
      <c r="B241" s="7">
        <f>B239-B240</f>
        <v>703136.22599477321</v>
      </c>
      <c r="C241" s="11" t="s">
        <v>303</v>
      </c>
      <c r="D241" s="7">
        <v>52549600</v>
      </c>
      <c r="E241" s="7"/>
      <c r="F241" s="11" t="s">
        <v>304</v>
      </c>
      <c r="K241" s="7">
        <v>641891.45648426563</v>
      </c>
      <c r="L241" s="11" t="s">
        <v>303</v>
      </c>
      <c r="M241" s="7">
        <v>3375900</v>
      </c>
      <c r="N241" s="11" t="s">
        <v>305</v>
      </c>
    </row>
    <row r="242" spans="1:17" x14ac:dyDescent="0.35">
      <c r="B242" s="7"/>
      <c r="D242" s="7">
        <f>3375900</f>
        <v>3375900</v>
      </c>
      <c r="E242" s="7"/>
      <c r="F242" s="11" t="s">
        <v>305</v>
      </c>
      <c r="K242" s="32"/>
      <c r="M242" s="7">
        <v>2183300</v>
      </c>
      <c r="N242" s="90" t="s">
        <v>697</v>
      </c>
      <c r="O242" s="90"/>
      <c r="P242" s="90"/>
    </row>
    <row r="243" spans="1:17" x14ac:dyDescent="0.35">
      <c r="B243" s="7"/>
      <c r="D243" s="7">
        <v>2641600</v>
      </c>
      <c r="E243" s="7"/>
      <c r="F243" s="11" t="s">
        <v>698</v>
      </c>
      <c r="K243" s="32"/>
      <c r="M243" s="93">
        <v>65336500</v>
      </c>
      <c r="N243" s="11" t="s">
        <v>306</v>
      </c>
    </row>
    <row r="244" spans="1:17" x14ac:dyDescent="0.35">
      <c r="B244" s="7"/>
      <c r="D244" s="93">
        <f>D241+D242+D243</f>
        <v>58567100</v>
      </c>
      <c r="E244" s="93"/>
      <c r="F244" s="11" t="s">
        <v>306</v>
      </c>
      <c r="K244" s="32"/>
      <c r="M244" s="94">
        <v>47708200</v>
      </c>
      <c r="N244" s="11" t="s">
        <v>307</v>
      </c>
    </row>
    <row r="245" spans="1:17" x14ac:dyDescent="0.35">
      <c r="B245" s="7"/>
      <c r="D245" s="94">
        <v>48413900</v>
      </c>
      <c r="E245" s="94"/>
      <c r="F245" s="11" t="s">
        <v>307</v>
      </c>
      <c r="K245" s="32"/>
      <c r="M245" s="7">
        <v>6542478</v>
      </c>
      <c r="N245" s="11" t="s">
        <v>328</v>
      </c>
    </row>
    <row r="246" spans="1:17" x14ac:dyDescent="0.35">
      <c r="A246" s="11" t="s">
        <v>323</v>
      </c>
      <c r="B246" s="7">
        <f>D239-D246</f>
        <v>106981000</v>
      </c>
      <c r="D246" s="7">
        <f>D239-D244-D245</f>
        <v>5937300</v>
      </c>
      <c r="E246" s="7"/>
      <c r="F246" s="11" t="s">
        <v>696</v>
      </c>
      <c r="K246" s="7">
        <v>113044700</v>
      </c>
      <c r="M246" s="11">
        <v>42775024.543515734</v>
      </c>
    </row>
    <row r="247" spans="1:17" x14ac:dyDescent="0.35">
      <c r="A247" s="11" t="s">
        <v>315</v>
      </c>
      <c r="B247" s="7">
        <f>B13+B25+B43+B230</f>
        <v>412689796</v>
      </c>
      <c r="K247" s="7">
        <v>408992974</v>
      </c>
    </row>
    <row r="248" spans="1:17" x14ac:dyDescent="0.35">
      <c r="A248" s="11" t="s">
        <v>316</v>
      </c>
      <c r="B248" s="99">
        <f>SUM(B246:B247)</f>
        <v>519670796</v>
      </c>
      <c r="C248" s="11" t="s">
        <v>303</v>
      </c>
      <c r="K248" s="99">
        <v>522037674</v>
      </c>
      <c r="L248" s="11" t="s">
        <v>303</v>
      </c>
    </row>
    <row r="249" spans="1:17" x14ac:dyDescent="0.35">
      <c r="A249" s="7" t="s">
        <v>311</v>
      </c>
      <c r="B249" s="95">
        <f>B239+D246</f>
        <v>42511598</v>
      </c>
      <c r="C249" s="15">
        <f>B239+D246</f>
        <v>42511598</v>
      </c>
      <c r="I249" s="15"/>
      <c r="K249" s="95">
        <v>43416916</v>
      </c>
      <c r="L249" s="15">
        <v>43416916</v>
      </c>
      <c r="Q249" s="15"/>
    </row>
    <row r="250" spans="1:17" x14ac:dyDescent="0.35">
      <c r="B250" s="15">
        <f>B248+B249</f>
        <v>562182394</v>
      </c>
      <c r="I250" s="15"/>
      <c r="K250" s="15">
        <v>565454590</v>
      </c>
      <c r="Q250" s="15"/>
    </row>
    <row r="251" spans="1:17" x14ac:dyDescent="0.35">
      <c r="B251" s="7">
        <f>B250+D240</f>
        <v>1060719994</v>
      </c>
      <c r="I251" s="15"/>
      <c r="K251" s="32"/>
      <c r="Q251" s="15"/>
    </row>
    <row r="252" spans="1:17" x14ac:dyDescent="0.35">
      <c r="A252" s="90" t="s">
        <v>430</v>
      </c>
      <c r="B252" s="7"/>
      <c r="I252" s="15"/>
      <c r="K252" s="32"/>
      <c r="Q252" s="15"/>
    </row>
    <row r="253" spans="1:17" x14ac:dyDescent="0.35">
      <c r="A253" s="11" t="s">
        <v>670</v>
      </c>
      <c r="B253" s="7">
        <f>ROUND(F13+SUM('2017 Prop share of contribs'!AN179:AN183)+'2017 Prop share of contribs'!AN197+SUM('2017 Prop share of contribs'!BA179:BA183)+'2017 Prop share of contribs'!BA197,0)</f>
        <v>61337208</v>
      </c>
      <c r="C253" s="15">
        <f>ROUND(B253+(B253/B255*B257),0)</f>
        <v>61682471</v>
      </c>
      <c r="D253" s="15">
        <f>C253-B253</f>
        <v>345263</v>
      </c>
      <c r="E253" s="15"/>
      <c r="K253" s="32">
        <v>38507521</v>
      </c>
      <c r="L253" s="15">
        <v>38958280</v>
      </c>
      <c r="M253" s="15">
        <v>450759</v>
      </c>
    </row>
    <row r="254" spans="1:17" x14ac:dyDescent="0.35">
      <c r="A254" s="11" t="s">
        <v>423</v>
      </c>
      <c r="B254" s="7">
        <f>ROUND(F25+F43+F230+B239-SUM('2017 Prop share of contribs'!AN179:AN183)-'2017 Prop share of contribs'!AN197-'2017 Prop share of contribs'!BA197-SUM('2017 Prop share of contribs'!BA179:BA183),0)</f>
        <v>993445486</v>
      </c>
      <c r="C254" s="15">
        <f>ROUND(B254+(B254/B255*B257),0)</f>
        <v>999037523</v>
      </c>
      <c r="D254" s="15">
        <f>C254-B254</f>
        <v>5592037</v>
      </c>
      <c r="E254" s="15"/>
      <c r="K254" s="32">
        <v>520404591</v>
      </c>
      <c r="L254" s="15">
        <v>526496310</v>
      </c>
      <c r="M254" s="15">
        <v>6091719</v>
      </c>
    </row>
    <row r="255" spans="1:17" x14ac:dyDescent="0.35">
      <c r="A255" s="11" t="s">
        <v>413</v>
      </c>
      <c r="B255" s="7">
        <f>B253+B254</f>
        <v>1054782694</v>
      </c>
      <c r="C255" s="15">
        <f>SUM(C253:C254)</f>
        <v>1060719994</v>
      </c>
      <c r="D255" s="15">
        <f>SUM(D253:D254)</f>
        <v>5937300</v>
      </c>
      <c r="E255" s="15"/>
      <c r="K255" s="7">
        <v>558912112</v>
      </c>
      <c r="L255" s="15">
        <v>565454590</v>
      </c>
      <c r="M255" s="15">
        <v>6542478</v>
      </c>
    </row>
    <row r="256" spans="1:17" x14ac:dyDescent="0.35">
      <c r="K256" s="32"/>
    </row>
    <row r="257" spans="1:14" x14ac:dyDescent="0.35">
      <c r="A257" s="11" t="s">
        <v>420</v>
      </c>
      <c r="B257" s="15">
        <f>D246</f>
        <v>5937300</v>
      </c>
      <c r="C257" s="11" t="s">
        <v>303</v>
      </c>
      <c r="K257" s="15">
        <v>6542478</v>
      </c>
      <c r="L257" s="11" t="s">
        <v>303</v>
      </c>
    </row>
    <row r="258" spans="1:14" x14ac:dyDescent="0.35">
      <c r="A258" s="11" t="s">
        <v>409</v>
      </c>
      <c r="B258" s="7">
        <f>B255+B257</f>
        <v>1060719994</v>
      </c>
      <c r="C258" s="15">
        <f>C253+C254</f>
        <v>1060719994</v>
      </c>
      <c r="K258" s="7">
        <v>565454590</v>
      </c>
      <c r="L258" s="15">
        <v>565454590</v>
      </c>
    </row>
    <row r="259" spans="1:14" x14ac:dyDescent="0.35">
      <c r="B259" s="7"/>
      <c r="K259" s="32"/>
    </row>
    <row r="260" spans="1:14" x14ac:dyDescent="0.35">
      <c r="A260" s="90" t="s">
        <v>431</v>
      </c>
      <c r="B260" s="7" t="s">
        <v>303</v>
      </c>
      <c r="C260" s="11" t="s">
        <v>672</v>
      </c>
      <c r="K260" s="32" t="s">
        <v>303</v>
      </c>
      <c r="L260" s="11" t="s">
        <v>672</v>
      </c>
    </row>
    <row r="261" spans="1:14" x14ac:dyDescent="0.35">
      <c r="A261" s="11" t="s">
        <v>410</v>
      </c>
      <c r="B261" s="7"/>
      <c r="C261" s="7">
        <f>SUM('2017 Prop share of contribs'!CG179:'2017 Prop share of contribs'!CG183)+'2017 Prop share of contribs'!CG197</f>
        <v>11636851.8576387</v>
      </c>
      <c r="D261" s="15">
        <f>ROUND(C261+(C261/C263*C265),0)</f>
        <v>11760528</v>
      </c>
      <c r="E261" s="15"/>
      <c r="F261" s="11" t="s">
        <v>303</v>
      </c>
      <c r="K261" s="32"/>
      <c r="L261" s="11">
        <v>11074804.65587355</v>
      </c>
      <c r="M261" s="15">
        <v>11287607</v>
      </c>
      <c r="N261" s="11" t="s">
        <v>671</v>
      </c>
    </row>
    <row r="262" spans="1:14" x14ac:dyDescent="0.35">
      <c r="A262" s="11" t="s">
        <v>411</v>
      </c>
      <c r="B262" s="7"/>
      <c r="C262" s="7">
        <f>SUM('2017 Prop share of contribs'!CG6:'2017 Prop share of contribs'!CG178)+SUM('2017 Prop share of contribs'!CG184:'2017 Prop share of contribs'!CG213)-'2017 Prop share of contribs'!CG197</f>
        <v>298115345.11547309</v>
      </c>
      <c r="D262" s="15">
        <f>ROUND(C262+(C262/C263*C265),0)</f>
        <v>301283698</v>
      </c>
      <c r="E262" s="15"/>
      <c r="K262" s="32"/>
      <c r="L262" s="11">
        <v>296067689.40761608</v>
      </c>
      <c r="M262" s="15">
        <v>301756619</v>
      </c>
    </row>
    <row r="263" spans="1:14" x14ac:dyDescent="0.35">
      <c r="B263" s="7"/>
      <c r="C263" s="11">
        <f>SUM(C261:C262)</f>
        <v>309752196.97311181</v>
      </c>
      <c r="D263" s="15">
        <f>SUM(D261:D262)</f>
        <v>313044226</v>
      </c>
      <c r="E263" s="15"/>
      <c r="K263" s="7"/>
      <c r="L263" s="11">
        <v>307142494.06348962</v>
      </c>
      <c r="M263" s="15">
        <v>313044226</v>
      </c>
    </row>
    <row r="264" spans="1:14" x14ac:dyDescent="0.35">
      <c r="B264" s="7"/>
      <c r="C264" s="11">
        <v>313044226</v>
      </c>
      <c r="D264" s="11" t="s">
        <v>412</v>
      </c>
      <c r="K264" s="32"/>
      <c r="L264" s="11">
        <v>313044226</v>
      </c>
      <c r="M264" s="11" t="s">
        <v>412</v>
      </c>
    </row>
    <row r="265" spans="1:14" x14ac:dyDescent="0.35">
      <c r="B265" s="7"/>
      <c r="C265" s="11">
        <f>C264-C263</f>
        <v>3292029.0268881917</v>
      </c>
      <c r="D265" s="11" t="s">
        <v>673</v>
      </c>
      <c r="K265" s="32"/>
      <c r="L265" s="11">
        <v>5901731.9365103841</v>
      </c>
      <c r="M265" s="11" t="s">
        <v>673</v>
      </c>
    </row>
    <row r="266" spans="1:14" x14ac:dyDescent="0.35">
      <c r="B266" s="7"/>
      <c r="K266" s="32"/>
    </row>
    <row r="267" spans="1:14" x14ac:dyDescent="0.35">
      <c r="A267" s="11" t="s">
        <v>424</v>
      </c>
      <c r="B267" s="7"/>
      <c r="K267" s="32"/>
    </row>
    <row r="268" spans="1:14" x14ac:dyDescent="0.35">
      <c r="B268" s="7" t="s">
        <v>432</v>
      </c>
      <c r="C268" s="11" t="s">
        <v>433</v>
      </c>
      <c r="D268" s="11" t="s">
        <v>434</v>
      </c>
      <c r="K268" s="32" t="s">
        <v>432</v>
      </c>
      <c r="L268" s="11" t="s">
        <v>433</v>
      </c>
      <c r="M268" s="11" t="s">
        <v>434</v>
      </c>
    </row>
    <row r="269" spans="1:14" x14ac:dyDescent="0.35">
      <c r="A269" s="11" t="s">
        <v>374</v>
      </c>
      <c r="B269" s="7">
        <v>981417089</v>
      </c>
      <c r="C269" s="15">
        <f>B230+F235</f>
        <v>975479791</v>
      </c>
      <c r="D269" s="15">
        <f>B269-C269</f>
        <v>5937298</v>
      </c>
      <c r="E269" s="15"/>
      <c r="K269" s="32">
        <v>484986954</v>
      </c>
      <c r="L269" s="15">
        <v>478444476</v>
      </c>
      <c r="M269" s="15">
        <v>6542478</v>
      </c>
      <c r="N269" s="15"/>
    </row>
    <row r="270" spans="1:14" x14ac:dyDescent="0.35">
      <c r="A270" s="11" t="s">
        <v>425</v>
      </c>
      <c r="B270" s="7">
        <v>79302904</v>
      </c>
      <c r="C270" s="15">
        <f>B13+B25+B43</f>
        <v>42728605</v>
      </c>
      <c r="D270" s="15">
        <f>B270-C270</f>
        <v>36574299</v>
      </c>
      <c r="E270" s="15"/>
      <c r="K270" s="32">
        <v>80467636</v>
      </c>
      <c r="L270" s="15">
        <v>43593198</v>
      </c>
      <c r="M270" s="15">
        <v>36874438</v>
      </c>
      <c r="N270" s="15"/>
    </row>
    <row r="271" spans="1:14" x14ac:dyDescent="0.35">
      <c r="A271" s="11" t="s">
        <v>303</v>
      </c>
      <c r="B271" s="7" t="s">
        <v>303</v>
      </c>
      <c r="K271" s="32" t="s">
        <v>303</v>
      </c>
      <c r="L271" s="15"/>
      <c r="M271" s="15"/>
      <c r="N271" s="15"/>
    </row>
    <row r="272" spans="1:14" x14ac:dyDescent="0.35">
      <c r="B272" s="7">
        <f>SUM(B269:B271)</f>
        <v>1060719993</v>
      </c>
      <c r="C272" s="7">
        <f t="shared" ref="C272:D272" si="44">SUM(C269:C271)</f>
        <v>1018208396</v>
      </c>
      <c r="D272" s="95">
        <f t="shared" si="44"/>
        <v>42511597</v>
      </c>
      <c r="E272" s="95"/>
      <c r="F272" s="11" t="s">
        <v>303</v>
      </c>
      <c r="K272" s="32">
        <v>565454590</v>
      </c>
      <c r="L272" s="15">
        <v>522037674</v>
      </c>
      <c r="M272" s="15">
        <v>43416916</v>
      </c>
      <c r="N272" s="15" t="s">
        <v>303</v>
      </c>
    </row>
    <row r="273" spans="1:14" x14ac:dyDescent="0.35">
      <c r="B273" s="7"/>
      <c r="K273" s="32"/>
      <c r="L273" s="15"/>
      <c r="M273" s="15"/>
      <c r="N273" s="15"/>
    </row>
    <row r="274" spans="1:14" x14ac:dyDescent="0.35">
      <c r="A274" s="11" t="s">
        <v>426</v>
      </c>
      <c r="B274" s="7"/>
      <c r="C274" s="15"/>
      <c r="K274" s="32"/>
      <c r="L274" s="15"/>
      <c r="M274" s="15"/>
      <c r="N274" s="15"/>
    </row>
    <row r="275" spans="1:14" x14ac:dyDescent="0.35">
      <c r="A275" s="11" t="s">
        <v>427</v>
      </c>
      <c r="B275" s="15">
        <f>C275+D275</f>
        <v>26746455</v>
      </c>
      <c r="C275" s="100">
        <f>D13</f>
        <v>26401192</v>
      </c>
      <c r="D275" s="101">
        <f>C253-B253</f>
        <v>345263</v>
      </c>
      <c r="E275" s="101"/>
      <c r="K275" s="32">
        <v>3606512</v>
      </c>
      <c r="L275" s="15">
        <v>3155753</v>
      </c>
      <c r="M275" s="15">
        <v>450759</v>
      </c>
      <c r="N275" s="15"/>
    </row>
    <row r="276" spans="1:14" x14ac:dyDescent="0.35">
      <c r="A276" s="11" t="s">
        <v>428</v>
      </c>
      <c r="B276" s="15">
        <f t="shared" ref="B276:B277" si="45">C276+D276</f>
        <v>34936016</v>
      </c>
      <c r="C276" s="100">
        <f>B13</f>
        <v>33126498</v>
      </c>
      <c r="D276" s="101">
        <f>ROUND(SUM('2017 Prop share of contribs'!BA179:BA183)+'2017 Prop share of contribs'!BA197+SUM('2017 Prop share of contribs'!AN179:AN183)+'2017 Prop share of contribs'!AN197,0)</f>
        <v>1809518</v>
      </c>
      <c r="E276" s="101"/>
      <c r="F276" s="130" t="s">
        <v>303</v>
      </c>
      <c r="G276" s="130"/>
      <c r="K276" s="32">
        <v>35351768</v>
      </c>
      <c r="L276" s="15">
        <v>33483516</v>
      </c>
      <c r="M276" s="15">
        <v>1868252</v>
      </c>
      <c r="N276" s="15" t="s">
        <v>303</v>
      </c>
    </row>
    <row r="277" spans="1:14" x14ac:dyDescent="0.35">
      <c r="B277" s="15">
        <f t="shared" si="45"/>
        <v>61682471</v>
      </c>
      <c r="C277" s="100">
        <f>SUM(C275:C276)</f>
        <v>59527690</v>
      </c>
      <c r="D277" s="101">
        <f>SUM(D275:D276)</f>
        <v>2154781</v>
      </c>
      <c r="E277" s="101"/>
      <c r="F277" s="15">
        <f>C275+C276+D277</f>
        <v>61682471</v>
      </c>
      <c r="K277" s="32">
        <v>38958280</v>
      </c>
      <c r="L277" s="15">
        <v>36639269</v>
      </c>
      <c r="M277" s="15">
        <v>2319011</v>
      </c>
      <c r="N277" s="15">
        <v>38958280</v>
      </c>
    </row>
    <row r="278" spans="1:14" x14ac:dyDescent="0.35">
      <c r="B278" s="7"/>
      <c r="F278" s="15"/>
      <c r="K278" s="32"/>
      <c r="L278" s="15"/>
      <c r="M278" s="15"/>
      <c r="N278" s="15"/>
    </row>
    <row r="279" spans="1:14" x14ac:dyDescent="0.35">
      <c r="A279" s="11" t="s">
        <v>429</v>
      </c>
      <c r="B279" s="7"/>
      <c r="F279" s="15"/>
      <c r="K279" s="32"/>
      <c r="L279" s="15"/>
      <c r="M279" s="15"/>
      <c r="N279" s="15"/>
    </row>
    <row r="280" spans="1:14" x14ac:dyDescent="0.35">
      <c r="A280" s="11" t="s">
        <v>427</v>
      </c>
      <c r="B280" s="15">
        <f>C280+D280</f>
        <v>954670636</v>
      </c>
      <c r="C280" s="15">
        <f>D25+D43+B230+C230+D230</f>
        <v>949078599</v>
      </c>
      <c r="D280" s="15">
        <f>C254-B254</f>
        <v>5592037</v>
      </c>
      <c r="E280" s="15"/>
      <c r="F280" s="15"/>
      <c r="K280" s="32">
        <v>481380442</v>
      </c>
      <c r="L280" s="15">
        <v>475288723</v>
      </c>
      <c r="M280" s="15">
        <v>6091719</v>
      </c>
      <c r="N280" s="15"/>
    </row>
    <row r="281" spans="1:14" x14ac:dyDescent="0.35">
      <c r="A281" s="11" t="s">
        <v>428</v>
      </c>
      <c r="B281" s="15">
        <f t="shared" ref="B281:B282" si="46">C281+D281</f>
        <v>44366886</v>
      </c>
      <c r="C281" s="15">
        <f>B25+B43</f>
        <v>9602107</v>
      </c>
      <c r="D281" s="15">
        <f>D272-D277-D280</f>
        <v>34764779</v>
      </c>
      <c r="E281" s="15"/>
      <c r="F281" s="15"/>
      <c r="K281" s="32">
        <v>45115868</v>
      </c>
      <c r="L281" s="15">
        <v>10109682</v>
      </c>
      <c r="M281" s="15">
        <v>35006186</v>
      </c>
      <c r="N281" s="15"/>
    </row>
    <row r="282" spans="1:14" x14ac:dyDescent="0.35">
      <c r="B282" s="15">
        <f t="shared" si="46"/>
        <v>999037522</v>
      </c>
      <c r="C282" s="15">
        <f>SUM(C280:C281)</f>
        <v>958680706</v>
      </c>
      <c r="D282" s="15">
        <f>SUM(D280:D281)</f>
        <v>40356816</v>
      </c>
      <c r="E282" s="15"/>
      <c r="F282" s="15">
        <f>C280+C281+D282</f>
        <v>999037522</v>
      </c>
      <c r="K282" s="32">
        <v>526496310</v>
      </c>
      <c r="L282" s="15">
        <v>485398405</v>
      </c>
      <c r="M282" s="15">
        <v>41097905</v>
      </c>
      <c r="N282" s="15">
        <v>526496310</v>
      </c>
    </row>
    <row r="283" spans="1:14" x14ac:dyDescent="0.35">
      <c r="B283" s="7"/>
      <c r="K283" s="32"/>
      <c r="L283" s="15"/>
      <c r="M283" s="15"/>
      <c r="N283" s="15"/>
    </row>
    <row r="284" spans="1:14" x14ac:dyDescent="0.35">
      <c r="B284" s="7">
        <f>B277+B282</f>
        <v>1060719993</v>
      </c>
      <c r="C284" s="7">
        <f>C277+C282</f>
        <v>1018208396</v>
      </c>
      <c r="D284" s="7">
        <f>D277+D282</f>
        <v>42511597</v>
      </c>
      <c r="E284" s="7"/>
      <c r="K284" s="32">
        <v>565454590</v>
      </c>
      <c r="L284" s="15">
        <v>522037674</v>
      </c>
      <c r="M284" s="15">
        <v>43416916</v>
      </c>
      <c r="N284" s="15"/>
    </row>
    <row r="285" spans="1:14" x14ac:dyDescent="0.35">
      <c r="B285" s="7"/>
      <c r="K285" s="32"/>
    </row>
    <row r="286" spans="1:14" x14ac:dyDescent="0.35">
      <c r="B286" s="7"/>
      <c r="K286" s="32"/>
    </row>
    <row r="287" spans="1:14" x14ac:dyDescent="0.35">
      <c r="B287" s="7"/>
      <c r="K287" s="32"/>
    </row>
    <row r="288" spans="1:14" x14ac:dyDescent="0.35">
      <c r="B288" s="7"/>
      <c r="K288" s="32"/>
    </row>
    <row r="289" spans="2:11" x14ac:dyDescent="0.35">
      <c r="B289" s="7"/>
      <c r="K289" s="32"/>
    </row>
    <row r="290" spans="2:11" x14ac:dyDescent="0.35">
      <c r="B290" s="7"/>
      <c r="K290" s="32"/>
    </row>
    <row r="291" spans="2:11" x14ac:dyDescent="0.35">
      <c r="B291" s="7"/>
      <c r="K291" s="32"/>
    </row>
    <row r="292" spans="2:11" x14ac:dyDescent="0.35">
      <c r="B292" s="7"/>
    </row>
    <row r="293" spans="2:11" x14ac:dyDescent="0.35">
      <c r="B293" s="7"/>
    </row>
    <row r="294" spans="2:11" x14ac:dyDescent="0.35">
      <c r="B294" s="7"/>
    </row>
    <row r="295" spans="2:11" x14ac:dyDescent="0.35">
      <c r="B295" s="7"/>
    </row>
    <row r="296" spans="2:11" x14ac:dyDescent="0.35">
      <c r="B296" s="7"/>
    </row>
    <row r="297" spans="2:11" x14ac:dyDescent="0.35">
      <c r="B297" s="7"/>
    </row>
    <row r="298" spans="2:11" x14ac:dyDescent="0.35">
      <c r="B298" s="7"/>
    </row>
    <row r="299" spans="2:11" x14ac:dyDescent="0.35">
      <c r="B299" s="7"/>
    </row>
    <row r="300" spans="2:11" x14ac:dyDescent="0.35">
      <c r="B300" s="7"/>
    </row>
    <row r="301" spans="2:11" x14ac:dyDescent="0.35">
      <c r="B301" s="7"/>
    </row>
    <row r="302" spans="2:11" x14ac:dyDescent="0.35">
      <c r="B302" s="7"/>
    </row>
    <row r="303" spans="2:11" x14ac:dyDescent="0.35">
      <c r="B303" s="7"/>
    </row>
    <row r="304" spans="2:11" x14ac:dyDescent="0.35">
      <c r="B304" s="7"/>
    </row>
    <row r="305" spans="2:2" x14ac:dyDescent="0.35">
      <c r="B305" s="7"/>
    </row>
    <row r="306" spans="2:2" x14ac:dyDescent="0.35">
      <c r="B306" s="7"/>
    </row>
    <row r="307" spans="2:2" x14ac:dyDescent="0.35">
      <c r="B307" s="7"/>
    </row>
    <row r="308" spans="2:2" x14ac:dyDescent="0.35">
      <c r="B308" s="7"/>
    </row>
    <row r="309" spans="2:2" x14ac:dyDescent="0.35">
      <c r="B309" s="7"/>
    </row>
    <row r="310" spans="2:2" x14ac:dyDescent="0.35">
      <c r="B310" s="7"/>
    </row>
    <row r="311" spans="2:2" x14ac:dyDescent="0.35">
      <c r="B311" s="7"/>
    </row>
    <row r="312" spans="2:2" x14ac:dyDescent="0.35">
      <c r="B312" s="7"/>
    </row>
    <row r="313" spans="2:2" x14ac:dyDescent="0.35">
      <c r="B313" s="7"/>
    </row>
    <row r="314" spans="2:2" x14ac:dyDescent="0.35">
      <c r="B314" s="7"/>
    </row>
    <row r="315" spans="2:2" x14ac:dyDescent="0.35">
      <c r="B315" s="7"/>
    </row>
    <row r="316" spans="2:2" x14ac:dyDescent="0.35">
      <c r="B316" s="7"/>
    </row>
    <row r="317" spans="2:2" x14ac:dyDescent="0.35">
      <c r="B317" s="7"/>
    </row>
    <row r="318" spans="2:2" x14ac:dyDescent="0.35">
      <c r="B318" s="7"/>
    </row>
    <row r="319" spans="2:2" x14ac:dyDescent="0.35">
      <c r="B319" s="7"/>
    </row>
    <row r="320" spans="2:2" x14ac:dyDescent="0.35">
      <c r="B320" s="7"/>
    </row>
    <row r="321" spans="2:2" x14ac:dyDescent="0.35">
      <c r="B321" s="7"/>
    </row>
    <row r="322" spans="2:2" x14ac:dyDescent="0.35">
      <c r="B322" s="7"/>
    </row>
    <row r="323" spans="2:2" x14ac:dyDescent="0.35">
      <c r="B323" s="7"/>
    </row>
    <row r="324" spans="2:2" x14ac:dyDescent="0.35">
      <c r="B324" s="7"/>
    </row>
    <row r="325" spans="2:2" x14ac:dyDescent="0.35">
      <c r="B325" s="7"/>
    </row>
    <row r="326" spans="2:2" x14ac:dyDescent="0.35">
      <c r="B326" s="7"/>
    </row>
    <row r="327" spans="2:2" x14ac:dyDescent="0.35">
      <c r="B327" s="7"/>
    </row>
    <row r="328" spans="2:2" x14ac:dyDescent="0.35">
      <c r="B328" s="7"/>
    </row>
    <row r="329" spans="2:2" x14ac:dyDescent="0.35">
      <c r="B329" s="7"/>
    </row>
    <row r="330" spans="2:2" x14ac:dyDescent="0.35">
      <c r="B330" s="7"/>
    </row>
    <row r="331" spans="2:2" x14ac:dyDescent="0.35">
      <c r="B331" s="7"/>
    </row>
    <row r="332" spans="2:2" x14ac:dyDescent="0.35">
      <c r="B332" s="7"/>
    </row>
    <row r="333" spans="2:2" x14ac:dyDescent="0.35">
      <c r="B333" s="7"/>
    </row>
    <row r="334" spans="2:2" x14ac:dyDescent="0.35">
      <c r="B334" s="7"/>
    </row>
    <row r="335" spans="2:2" x14ac:dyDescent="0.35">
      <c r="B335" s="7"/>
    </row>
    <row r="336" spans="2:2" x14ac:dyDescent="0.35">
      <c r="B336" s="7"/>
    </row>
    <row r="337" spans="2:2" x14ac:dyDescent="0.35">
      <c r="B337" s="7"/>
    </row>
    <row r="338" spans="2:2" x14ac:dyDescent="0.35">
      <c r="B338" s="7"/>
    </row>
    <row r="339" spans="2:2" x14ac:dyDescent="0.35">
      <c r="B339" s="7"/>
    </row>
  </sheetData>
  <mergeCells count="3">
    <mergeCell ref="G4:I4"/>
    <mergeCell ref="G16:I16"/>
    <mergeCell ref="G45:I45"/>
  </mergeCells>
  <pageMargins left="0.25" right="0.25" top="0.62" bottom="0.75" header="0.3" footer="0.3"/>
  <pageSetup scale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M2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15234375" defaultRowHeight="14.15" x14ac:dyDescent="0.35"/>
  <cols>
    <col min="1" max="1" width="4" style="4" bestFit="1" customWidth="1"/>
    <col min="2" max="2" width="42.84375" style="4" customWidth="1"/>
    <col min="3" max="3" width="35" style="4" bestFit="1" customWidth="1"/>
    <col min="4" max="4" width="14.61328125" style="4" bestFit="1" customWidth="1"/>
    <col min="5" max="5" width="15.61328125" style="4" bestFit="1" customWidth="1"/>
    <col min="6" max="6" width="15.15234375" style="4" bestFit="1" customWidth="1"/>
    <col min="7" max="7" width="16.69140625" style="4" bestFit="1" customWidth="1"/>
    <col min="8" max="8" width="15.69140625" style="4" bestFit="1" customWidth="1"/>
    <col min="9" max="9" width="15.23046875" style="4" bestFit="1" customWidth="1"/>
    <col min="10" max="10" width="15.3828125" style="4" bestFit="1" customWidth="1"/>
    <col min="11" max="11" width="16.69140625" style="4" bestFit="1" customWidth="1"/>
    <col min="12" max="12" width="15.84375" style="4" bestFit="1" customWidth="1"/>
    <col min="13" max="13" width="2.23046875" style="4" customWidth="1"/>
    <col min="14" max="15" width="15.3828125" style="4" bestFit="1" customWidth="1"/>
    <col min="16" max="16" width="2.3828125" style="4" customWidth="1"/>
    <col min="17" max="17" width="12.84375" style="4" bestFit="1" customWidth="1"/>
    <col min="18" max="18" width="11.23046875" style="4" bestFit="1" customWidth="1"/>
    <col min="19" max="19" width="12.23046875" style="4" bestFit="1" customWidth="1"/>
    <col min="20" max="20" width="12.84375" style="4" bestFit="1" customWidth="1"/>
    <col min="21" max="21" width="10.3828125" style="4" customWidth="1"/>
    <col min="22" max="22" width="14" style="4" customWidth="1"/>
    <col min="23" max="23" width="13.15234375" style="4" customWidth="1"/>
    <col min="24" max="24" width="12.23046875" style="4" bestFit="1" customWidth="1"/>
    <col min="25" max="25" width="14" style="4" bestFit="1" customWidth="1"/>
    <col min="26" max="26" width="12.61328125" style="4" customWidth="1"/>
    <col min="27" max="27" width="12.84375" style="4" bestFit="1" customWidth="1"/>
    <col min="28" max="28" width="11.84375" style="4" bestFit="1" customWidth="1"/>
    <col min="29" max="29" width="12.3828125" style="4" bestFit="1" customWidth="1"/>
    <col min="30" max="32" width="14" style="4" bestFit="1" customWidth="1"/>
    <col min="33" max="33" width="12.84375" style="4" bestFit="1" customWidth="1"/>
    <col min="34" max="34" width="12.69140625" style="4" bestFit="1" customWidth="1"/>
    <col min="35" max="35" width="11.61328125" style="4" bestFit="1" customWidth="1"/>
    <col min="36" max="36" width="11.15234375" style="4" bestFit="1" customWidth="1"/>
    <col min="37" max="37" width="18.84375" style="4" bestFit="1" customWidth="1"/>
    <col min="38" max="38" width="14" style="4" bestFit="1" customWidth="1"/>
    <col min="39" max="40" width="12.84375" style="4" bestFit="1" customWidth="1"/>
    <col min="41" max="41" width="15.3828125" style="4" bestFit="1" customWidth="1"/>
    <col min="42" max="42" width="13.84375" style="4" bestFit="1" customWidth="1"/>
    <col min="43" max="43" width="1.61328125" style="4" bestFit="1" customWidth="1"/>
    <col min="44" max="44" width="9.15234375" style="4"/>
    <col min="45" max="45" width="14.15234375" style="4" bestFit="1" customWidth="1"/>
    <col min="46" max="47" width="12.23046875" style="39" bestFit="1" customWidth="1"/>
    <col min="48" max="52" width="12.23046875" style="4" bestFit="1" customWidth="1"/>
    <col min="53" max="53" width="11.23046875" style="4" bestFit="1" customWidth="1"/>
    <col min="54" max="54" width="12.23046875" style="4" bestFit="1" customWidth="1"/>
    <col min="55" max="55" width="5.15234375" style="4" bestFit="1" customWidth="1"/>
    <col min="56" max="56" width="15.61328125" style="4" bestFit="1" customWidth="1"/>
    <col min="57" max="58" width="12.23046875" style="39" bestFit="1" customWidth="1"/>
    <col min="59" max="63" width="12.23046875" style="4" bestFit="1" customWidth="1"/>
    <col min="64" max="65" width="11.23046875" style="4" bestFit="1" customWidth="1"/>
    <col min="66" max="66" width="9.15234375" style="4"/>
    <col min="67" max="67" width="11.23046875" style="4" bestFit="1" customWidth="1"/>
    <col min="68" max="68" width="10.23046875" style="4" bestFit="1" customWidth="1"/>
    <col min="69" max="69" width="11.23046875" style="4" bestFit="1" customWidth="1"/>
    <col min="70" max="70" width="10.23046875" style="4" bestFit="1" customWidth="1"/>
    <col min="71" max="71" width="11.23046875" style="4" bestFit="1" customWidth="1"/>
    <col min="72" max="73" width="10.23046875" style="39" bestFit="1" customWidth="1"/>
    <col min="74" max="76" width="10.23046875" style="4" bestFit="1" customWidth="1"/>
    <col min="77" max="79" width="9.15234375" style="4"/>
    <col min="80" max="80" width="11.23046875" style="4" bestFit="1" customWidth="1"/>
    <col min="81" max="81" width="10.23046875" style="4" bestFit="1" customWidth="1"/>
    <col min="82" max="82" width="11.23046875" style="4" bestFit="1" customWidth="1"/>
    <col min="83" max="83" width="10.23046875" style="4" bestFit="1" customWidth="1"/>
    <col min="84" max="84" width="11.23046875" style="4" bestFit="1" customWidth="1"/>
    <col min="85" max="86" width="10.23046875" style="39" bestFit="1" customWidth="1"/>
    <col min="87" max="89" width="10.23046875" style="4" bestFit="1" customWidth="1"/>
    <col min="90" max="91" width="8.84375" style="4" bestFit="1" customWidth="1"/>
    <col min="92" max="95" width="9.15234375" style="4"/>
    <col min="96" max="97" width="9.15234375" style="39"/>
    <col min="98" max="108" width="9.15234375" style="4"/>
    <col min="109" max="110" width="9.15234375" style="39"/>
    <col min="111" max="16384" width="9.15234375" style="4"/>
  </cols>
  <sheetData>
    <row r="1" spans="1:117" ht="14.6" x14ac:dyDescent="0.4">
      <c r="J1" s="30">
        <v>2017</v>
      </c>
      <c r="K1" s="4" t="s">
        <v>450</v>
      </c>
      <c r="N1" s="358" t="s">
        <v>303</v>
      </c>
      <c r="O1" s="358"/>
      <c r="Q1" s="30" t="s">
        <v>344</v>
      </c>
      <c r="AA1" s="30" t="s">
        <v>303</v>
      </c>
      <c r="AB1" s="30" t="s">
        <v>303</v>
      </c>
      <c r="AE1" s="44" t="s">
        <v>303</v>
      </c>
      <c r="AF1" s="44"/>
      <c r="AG1" s="44"/>
      <c r="AH1" s="44"/>
      <c r="AI1" s="44"/>
      <c r="AJ1" s="44"/>
      <c r="AK1" s="133" t="s">
        <v>702</v>
      </c>
      <c r="AL1" s="4" t="s">
        <v>703</v>
      </c>
      <c r="AM1" s="4" t="s">
        <v>675</v>
      </c>
      <c r="AN1" s="4" t="s">
        <v>80</v>
      </c>
      <c r="AO1" s="4" t="s">
        <v>452</v>
      </c>
      <c r="AP1" s="4" t="s">
        <v>452</v>
      </c>
      <c r="AS1" s="4" t="s">
        <v>438</v>
      </c>
      <c r="AT1" s="39" t="s">
        <v>439</v>
      </c>
      <c r="AU1" s="39" t="s">
        <v>442</v>
      </c>
      <c r="AV1" s="4" t="s">
        <v>439</v>
      </c>
      <c r="AW1" s="4" t="s">
        <v>443</v>
      </c>
      <c r="AX1" s="4" t="s">
        <v>439</v>
      </c>
      <c r="AY1" s="4" t="s">
        <v>444</v>
      </c>
      <c r="AZ1" s="4" t="s">
        <v>439</v>
      </c>
      <c r="BA1" s="4" t="s">
        <v>681</v>
      </c>
      <c r="BB1" s="4" t="s">
        <v>439</v>
      </c>
      <c r="BD1" s="4" t="s">
        <v>438</v>
      </c>
      <c r="BE1" s="39" t="s">
        <v>439</v>
      </c>
      <c r="BF1" s="39" t="s">
        <v>442</v>
      </c>
      <c r="BG1" s="4" t="s">
        <v>439</v>
      </c>
      <c r="BH1" s="4" t="s">
        <v>443</v>
      </c>
      <c r="BI1" s="4" t="s">
        <v>439</v>
      </c>
      <c r="BJ1" s="4" t="s">
        <v>444</v>
      </c>
      <c r="BK1" s="4" t="s">
        <v>439</v>
      </c>
      <c r="BL1" s="4" t="s">
        <v>681</v>
      </c>
      <c r="BM1" s="4" t="s">
        <v>439</v>
      </c>
      <c r="BO1" s="4" t="s">
        <v>438</v>
      </c>
      <c r="BP1" s="4" t="s">
        <v>439</v>
      </c>
      <c r="BQ1" s="4" t="s">
        <v>445</v>
      </c>
      <c r="BR1" s="4" t="s">
        <v>439</v>
      </c>
      <c r="BS1" s="4" t="s">
        <v>446</v>
      </c>
      <c r="BT1" s="39" t="s">
        <v>439</v>
      </c>
      <c r="BU1" s="39" t="s">
        <v>447</v>
      </c>
      <c r="BV1" s="4" t="s">
        <v>439</v>
      </c>
      <c r="BW1" s="4" t="s">
        <v>448</v>
      </c>
      <c r="BX1" s="4" t="s">
        <v>439</v>
      </c>
      <c r="BY1" s="4" t="s">
        <v>449</v>
      </c>
      <c r="BZ1" s="4" t="s">
        <v>439</v>
      </c>
      <c r="CB1" s="4" t="s">
        <v>438</v>
      </c>
      <c r="CC1" s="4" t="s">
        <v>439</v>
      </c>
      <c r="CD1" s="4" t="s">
        <v>445</v>
      </c>
      <c r="CE1" s="4" t="s">
        <v>439</v>
      </c>
      <c r="CF1" s="4" t="s">
        <v>446</v>
      </c>
      <c r="CG1" s="39" t="s">
        <v>439</v>
      </c>
      <c r="CH1" s="39" t="s">
        <v>447</v>
      </c>
      <c r="CI1" s="4" t="s">
        <v>439</v>
      </c>
      <c r="CJ1" s="4" t="s">
        <v>448</v>
      </c>
      <c r="CK1" s="4" t="s">
        <v>439</v>
      </c>
      <c r="CL1" s="4" t="s">
        <v>449</v>
      </c>
      <c r="CM1" s="4" t="s">
        <v>439</v>
      </c>
      <c r="CO1" s="4" t="s">
        <v>438</v>
      </c>
      <c r="CP1" s="4" t="s">
        <v>439</v>
      </c>
      <c r="CQ1" s="4" t="s">
        <v>440</v>
      </c>
      <c r="CR1" s="39" t="s">
        <v>439</v>
      </c>
      <c r="CS1" s="39" t="s">
        <v>442</v>
      </c>
      <c r="CT1" s="4" t="s">
        <v>439</v>
      </c>
      <c r="CU1" s="4" t="s">
        <v>443</v>
      </c>
      <c r="CV1" s="4" t="s">
        <v>439</v>
      </c>
      <c r="CW1" s="4" t="s">
        <v>444</v>
      </c>
      <c r="CX1" s="4" t="s">
        <v>439</v>
      </c>
      <c r="CY1" s="4" t="s">
        <v>681</v>
      </c>
      <c r="CZ1" s="4" t="s">
        <v>439</v>
      </c>
      <c r="DB1" s="4" t="s">
        <v>438</v>
      </c>
      <c r="DC1" s="4" t="s">
        <v>439</v>
      </c>
      <c r="DD1" s="4" t="s">
        <v>440</v>
      </c>
      <c r="DE1" s="39" t="s">
        <v>439</v>
      </c>
      <c r="DF1" s="39" t="s">
        <v>442</v>
      </c>
      <c r="DG1" s="4" t="s">
        <v>439</v>
      </c>
      <c r="DH1" s="4" t="s">
        <v>443</v>
      </c>
      <c r="DI1" s="4" t="s">
        <v>439</v>
      </c>
      <c r="DJ1" s="4" t="s">
        <v>444</v>
      </c>
      <c r="DK1" s="4" t="s">
        <v>439</v>
      </c>
      <c r="DL1" s="4" t="s">
        <v>681</v>
      </c>
      <c r="DM1" s="4" t="s">
        <v>439</v>
      </c>
    </row>
    <row r="2" spans="1:117" x14ac:dyDescent="0.35">
      <c r="B2" s="4" t="s">
        <v>437</v>
      </c>
      <c r="D2" s="28"/>
      <c r="E2" s="28"/>
      <c r="F2" s="28" t="s">
        <v>303</v>
      </c>
      <c r="G2" s="88"/>
      <c r="H2" s="88"/>
      <c r="I2" s="88"/>
      <c r="J2" s="100">
        <v>1276378377</v>
      </c>
      <c r="K2" s="102">
        <v>4.3</v>
      </c>
      <c r="L2" s="7" t="s">
        <v>303</v>
      </c>
      <c r="M2" s="7"/>
      <c r="N2" s="181">
        <v>1582178000</v>
      </c>
      <c r="O2" s="181">
        <v>1136770694</v>
      </c>
      <c r="P2" s="7"/>
      <c r="Q2" s="181">
        <v>81438495</v>
      </c>
      <c r="R2" s="7" t="s">
        <v>303</v>
      </c>
      <c r="S2" s="7" t="s">
        <v>303</v>
      </c>
      <c r="T2" s="7"/>
      <c r="U2" s="4">
        <v>7359276</v>
      </c>
      <c r="V2" s="7">
        <v>158029554</v>
      </c>
      <c r="W2" s="7">
        <v>0</v>
      </c>
      <c r="X2" s="4">
        <v>0</v>
      </c>
      <c r="Y2" s="100">
        <v>165388830</v>
      </c>
      <c r="Z2" s="100">
        <v>26994498</v>
      </c>
      <c r="AA2" s="100">
        <v>88608245</v>
      </c>
      <c r="AB2" s="100">
        <v>9875606</v>
      </c>
      <c r="AC2" s="101">
        <v>0</v>
      </c>
      <c r="AD2" s="100">
        <v>125478349</v>
      </c>
      <c r="AE2" s="182">
        <v>8508439</v>
      </c>
      <c r="AF2" s="182">
        <v>24815772</v>
      </c>
      <c r="AG2" s="182">
        <v>11544714</v>
      </c>
      <c r="AH2" s="181">
        <v>-4958442</v>
      </c>
      <c r="AI2" s="181">
        <v>0</v>
      </c>
      <c r="AJ2" s="181">
        <v>0</v>
      </c>
      <c r="AK2" s="181">
        <v>1423960946</v>
      </c>
      <c r="AL2" s="100">
        <v>253460433</v>
      </c>
      <c r="AM2" s="100">
        <v>44056578</v>
      </c>
      <c r="AN2" s="101">
        <v>59527690</v>
      </c>
      <c r="AO2" s="101">
        <v>1276378377</v>
      </c>
      <c r="AP2" s="32">
        <v>0</v>
      </c>
      <c r="AS2" s="4">
        <v>2017</v>
      </c>
      <c r="AT2" s="39">
        <v>2017</v>
      </c>
      <c r="AU2" s="39">
        <v>2017</v>
      </c>
      <c r="AV2" s="4">
        <f t="shared" ref="AV2:BB2" si="0">AT2+1</f>
        <v>2018</v>
      </c>
      <c r="AW2" s="4">
        <f t="shared" si="0"/>
        <v>2018</v>
      </c>
      <c r="AX2" s="4">
        <f t="shared" si="0"/>
        <v>2019</v>
      </c>
      <c r="AY2" s="4">
        <f t="shared" si="0"/>
        <v>2019</v>
      </c>
      <c r="AZ2" s="4">
        <f t="shared" si="0"/>
        <v>2020</v>
      </c>
      <c r="BA2" s="4">
        <f t="shared" si="0"/>
        <v>2020</v>
      </c>
      <c r="BB2" s="4">
        <f t="shared" si="0"/>
        <v>2021</v>
      </c>
      <c r="BD2" s="4">
        <v>2017</v>
      </c>
      <c r="BE2" s="39">
        <v>2017</v>
      </c>
      <c r="BF2" s="39">
        <v>2017</v>
      </c>
      <c r="BG2" s="4">
        <f t="shared" ref="BG2" si="1">BE2+1</f>
        <v>2018</v>
      </c>
      <c r="BH2" s="4">
        <f t="shared" ref="BH2" si="2">BF2+1</f>
        <v>2018</v>
      </c>
      <c r="BI2" s="4">
        <f t="shared" ref="BI2" si="3">BG2+1</f>
        <v>2019</v>
      </c>
      <c r="BJ2" s="4">
        <f t="shared" ref="BJ2" si="4">BH2+1</f>
        <v>2019</v>
      </c>
      <c r="BK2" s="4">
        <f t="shared" ref="BK2" si="5">BI2+1</f>
        <v>2020</v>
      </c>
      <c r="BL2" s="4">
        <f t="shared" ref="BL2" si="6">BJ2+1</f>
        <v>2020</v>
      </c>
      <c r="BM2" s="4">
        <f t="shared" ref="BM2" si="7">BK2+1</f>
        <v>2021</v>
      </c>
      <c r="BO2" s="4">
        <v>2015</v>
      </c>
      <c r="BP2" s="4">
        <v>2015</v>
      </c>
      <c r="BQ2" s="4">
        <v>2015</v>
      </c>
      <c r="BR2" s="4">
        <f>BP2+1</f>
        <v>2016</v>
      </c>
      <c r="BS2" s="4">
        <f t="shared" ref="BS2:BY2" si="8">BQ2+1</f>
        <v>2016</v>
      </c>
      <c r="BT2" s="39">
        <f t="shared" si="8"/>
        <v>2017</v>
      </c>
      <c r="BU2" s="39">
        <f t="shared" si="8"/>
        <v>2017</v>
      </c>
      <c r="BV2" s="4">
        <f t="shared" si="8"/>
        <v>2018</v>
      </c>
      <c r="BW2" s="4">
        <f t="shared" si="8"/>
        <v>2018</v>
      </c>
      <c r="BX2" s="4">
        <f t="shared" si="8"/>
        <v>2019</v>
      </c>
      <c r="BY2" s="4">
        <f t="shared" si="8"/>
        <v>2019</v>
      </c>
      <c r="BZ2" s="4">
        <f t="shared" ref="BZ2" si="9">BX2+1</f>
        <v>2020</v>
      </c>
      <c r="CB2" s="4">
        <v>2015</v>
      </c>
      <c r="CC2" s="4">
        <v>2015</v>
      </c>
      <c r="CD2" s="4">
        <v>2015</v>
      </c>
      <c r="CE2" s="4">
        <f>CC2+1</f>
        <v>2016</v>
      </c>
      <c r="CF2" s="4">
        <f t="shared" ref="CF2" si="10">CD2+1</f>
        <v>2016</v>
      </c>
      <c r="CG2" s="39">
        <f t="shared" ref="CG2" si="11">CE2+1</f>
        <v>2017</v>
      </c>
      <c r="CH2" s="39">
        <f t="shared" ref="CH2" si="12">CF2+1</f>
        <v>2017</v>
      </c>
      <c r="CI2" s="4">
        <f t="shared" ref="CI2" si="13">CG2+1</f>
        <v>2018</v>
      </c>
      <c r="CJ2" s="4">
        <f t="shared" ref="CJ2" si="14">CH2+1</f>
        <v>2018</v>
      </c>
      <c r="CK2" s="4">
        <f t="shared" ref="CK2" si="15">CI2+1</f>
        <v>2019</v>
      </c>
      <c r="CL2" s="4">
        <f t="shared" ref="CL2" si="16">CJ2+1</f>
        <v>2019</v>
      </c>
      <c r="CM2" s="4">
        <f t="shared" ref="CM2" si="17">CK2+1</f>
        <v>2020</v>
      </c>
      <c r="CO2" s="4">
        <v>2016</v>
      </c>
      <c r="CP2" s="4">
        <v>2016</v>
      </c>
      <c r="CQ2" s="4">
        <v>2016</v>
      </c>
      <c r="CR2" s="39">
        <f t="shared" ref="CR2" si="18">CP2+1</f>
        <v>2017</v>
      </c>
      <c r="CS2" s="39">
        <f t="shared" ref="CS2" si="19">CQ2+1</f>
        <v>2017</v>
      </c>
      <c r="CT2" s="4">
        <f t="shared" ref="CT2" si="20">CR2+1</f>
        <v>2018</v>
      </c>
      <c r="CU2" s="4">
        <f t="shared" ref="CU2" si="21">CS2+1</f>
        <v>2018</v>
      </c>
      <c r="CV2" s="4">
        <f t="shared" ref="CV2" si="22">CT2+1</f>
        <v>2019</v>
      </c>
      <c r="CW2" s="4">
        <f t="shared" ref="CW2" si="23">CU2+1</f>
        <v>2019</v>
      </c>
      <c r="CX2" s="4">
        <f t="shared" ref="CX2" si="24">CV2+1</f>
        <v>2020</v>
      </c>
      <c r="CY2" s="4">
        <f>CW2+1</f>
        <v>2020</v>
      </c>
      <c r="CZ2" s="4">
        <f t="shared" ref="CZ2" si="25">CX2+1</f>
        <v>2021</v>
      </c>
      <c r="DB2" s="4">
        <v>2016</v>
      </c>
      <c r="DC2" s="4">
        <v>2016</v>
      </c>
      <c r="DD2" s="4">
        <v>2016</v>
      </c>
      <c r="DE2" s="39">
        <f t="shared" ref="DE2" si="26">DC2+1</f>
        <v>2017</v>
      </c>
      <c r="DF2" s="39">
        <f t="shared" ref="DF2" si="27">DD2+1</f>
        <v>2017</v>
      </c>
      <c r="DG2" s="4">
        <f t="shared" ref="DG2" si="28">DE2+1</f>
        <v>2018</v>
      </c>
      <c r="DH2" s="4">
        <f t="shared" ref="DH2" si="29">DF2+1</f>
        <v>2018</v>
      </c>
      <c r="DI2" s="4">
        <f t="shared" ref="DI2" si="30">DG2+1</f>
        <v>2019</v>
      </c>
      <c r="DJ2" s="4">
        <f t="shared" ref="DJ2" si="31">DH2+1</f>
        <v>2019</v>
      </c>
      <c r="DK2" s="4">
        <f t="shared" ref="DK2" si="32">DI2+1</f>
        <v>2020</v>
      </c>
      <c r="DL2" s="4">
        <f>DJ2+1</f>
        <v>2020</v>
      </c>
      <c r="DM2" s="4">
        <f t="shared" ref="DM2" si="33">DK2+1</f>
        <v>2021</v>
      </c>
    </row>
    <row r="3" spans="1:117" ht="15.45" x14ac:dyDescent="0.5">
      <c r="Q3" s="44"/>
      <c r="U3" s="359" t="s">
        <v>81</v>
      </c>
      <c r="V3" s="359"/>
      <c r="W3" s="359"/>
      <c r="X3" s="359"/>
      <c r="Y3" s="103" t="s">
        <v>64</v>
      </c>
      <c r="Z3" s="359" t="s">
        <v>82</v>
      </c>
      <c r="AA3" s="359"/>
      <c r="AB3" s="359"/>
      <c r="AC3" s="359"/>
      <c r="AD3" s="103" t="s">
        <v>64</v>
      </c>
      <c r="AE3" s="357" t="s">
        <v>84</v>
      </c>
      <c r="AF3" s="357"/>
      <c r="AG3" s="357"/>
      <c r="AH3" s="357"/>
      <c r="AI3" s="357"/>
      <c r="AJ3" s="50"/>
      <c r="AK3" s="4" t="s">
        <v>86</v>
      </c>
      <c r="AN3" s="4" t="s">
        <v>303</v>
      </c>
    </row>
    <row r="4" spans="1:117" ht="15.45" x14ac:dyDescent="0.5">
      <c r="J4" s="359" t="s">
        <v>704</v>
      </c>
      <c r="K4" s="359"/>
      <c r="L4" s="359"/>
      <c r="M4" s="359"/>
      <c r="N4" s="359"/>
      <c r="O4" s="359"/>
      <c r="P4" s="29"/>
      <c r="Q4" s="5"/>
      <c r="R4" s="28"/>
      <c r="S4" s="28"/>
      <c r="T4" s="102"/>
      <c r="U4" s="5"/>
      <c r="V4" s="5"/>
      <c r="W4" s="5"/>
      <c r="X4" s="5"/>
      <c r="Y4" s="102"/>
      <c r="Z4" s="5"/>
      <c r="AA4" s="5"/>
      <c r="AB4" s="5"/>
      <c r="AC4" s="5"/>
      <c r="AD4" s="102"/>
      <c r="AE4" s="356" t="s">
        <v>85</v>
      </c>
      <c r="AF4" s="356"/>
      <c r="AG4" s="356"/>
      <c r="AH4" s="356"/>
      <c r="AI4" s="356"/>
      <c r="AJ4" s="49"/>
      <c r="AK4" s="4" t="s">
        <v>707</v>
      </c>
    </row>
    <row r="5" spans="1:117" x14ac:dyDescent="0.35">
      <c r="J5" s="5" t="s">
        <v>69</v>
      </c>
      <c r="K5" s="28" t="s">
        <v>69</v>
      </c>
      <c r="L5" s="28" t="s">
        <v>69</v>
      </c>
      <c r="M5" s="28"/>
      <c r="N5" s="5" t="s">
        <v>69</v>
      </c>
      <c r="O5" s="5" t="s">
        <v>69</v>
      </c>
      <c r="P5" s="28"/>
      <c r="Q5" s="41" t="s">
        <v>64</v>
      </c>
      <c r="R5" s="41" t="s">
        <v>334</v>
      </c>
      <c r="S5" s="41" t="s">
        <v>337</v>
      </c>
      <c r="T5" s="41" t="s">
        <v>451</v>
      </c>
      <c r="U5" s="5"/>
      <c r="V5" s="5"/>
      <c r="W5" s="5"/>
      <c r="X5" s="133" t="s">
        <v>77</v>
      </c>
      <c r="Y5" s="102"/>
      <c r="Z5" s="5"/>
      <c r="AA5" s="5"/>
      <c r="AB5" s="5"/>
      <c r="AC5" s="133" t="s">
        <v>77</v>
      </c>
      <c r="AD5" s="102"/>
      <c r="AE5" s="5"/>
    </row>
    <row r="6" spans="1:117" x14ac:dyDescent="0.35">
      <c r="D6" s="5" t="s">
        <v>68</v>
      </c>
      <c r="E6" s="28" t="s">
        <v>68</v>
      </c>
      <c r="F6" s="28" t="s">
        <v>68</v>
      </c>
      <c r="G6" s="88" t="s">
        <v>68</v>
      </c>
      <c r="H6" s="88" t="s">
        <v>68</v>
      </c>
      <c r="I6" s="88" t="s">
        <v>68</v>
      </c>
      <c r="J6" s="8">
        <v>4.4900000000000002E-2</v>
      </c>
      <c r="K6" s="8">
        <f>J6</f>
        <v>4.4900000000000002E-2</v>
      </c>
      <c r="L6" s="8">
        <f>J6</f>
        <v>4.4900000000000002E-2</v>
      </c>
      <c r="M6" s="8"/>
      <c r="N6" s="5" t="s">
        <v>70</v>
      </c>
      <c r="O6" s="5" t="s">
        <v>71</v>
      </c>
      <c r="P6" s="28"/>
      <c r="Q6" s="41" t="s">
        <v>60</v>
      </c>
      <c r="R6" s="41" t="s">
        <v>335</v>
      </c>
      <c r="S6" s="41" t="s">
        <v>60</v>
      </c>
      <c r="T6" s="41" t="s">
        <v>314</v>
      </c>
      <c r="U6" s="5" t="s">
        <v>72</v>
      </c>
      <c r="V6" s="5" t="s">
        <v>75</v>
      </c>
      <c r="W6" s="5" t="s">
        <v>76</v>
      </c>
      <c r="X6" s="133" t="s">
        <v>78</v>
      </c>
      <c r="Y6" s="102"/>
      <c r="Z6" s="5" t="s">
        <v>72</v>
      </c>
      <c r="AA6" s="5" t="s">
        <v>75</v>
      </c>
      <c r="AB6" s="5" t="s">
        <v>76</v>
      </c>
      <c r="AC6" s="133" t="s">
        <v>78</v>
      </c>
      <c r="AD6" s="102"/>
      <c r="AE6" s="5"/>
      <c r="AK6" s="5" t="s">
        <v>69</v>
      </c>
      <c r="AN6" s="4" t="s">
        <v>303</v>
      </c>
    </row>
    <row r="7" spans="1:117" x14ac:dyDescent="0.35">
      <c r="D7" s="5" t="s">
        <v>414</v>
      </c>
      <c r="E7" s="28" t="s">
        <v>415</v>
      </c>
      <c r="F7" s="28" t="s">
        <v>416</v>
      </c>
      <c r="G7" s="88" t="s">
        <v>417</v>
      </c>
      <c r="H7" s="88" t="s">
        <v>418</v>
      </c>
      <c r="I7" s="88" t="s">
        <v>419</v>
      </c>
      <c r="J7" s="39" t="s">
        <v>339</v>
      </c>
      <c r="K7" s="40" t="s">
        <v>340</v>
      </c>
      <c r="L7" s="40" t="s">
        <v>341</v>
      </c>
      <c r="M7" s="8"/>
      <c r="N7" s="8">
        <f>J6-0.01</f>
        <v>3.49E-2</v>
      </c>
      <c r="O7" s="8">
        <f>J6+0.01</f>
        <v>5.4900000000000004E-2</v>
      </c>
      <c r="P7" s="8"/>
      <c r="Q7" s="41" t="s">
        <v>333</v>
      </c>
      <c r="R7" s="41" t="s">
        <v>336</v>
      </c>
      <c r="S7" s="41" t="s">
        <v>333</v>
      </c>
      <c r="T7" s="41" t="s">
        <v>344</v>
      </c>
      <c r="U7" s="5" t="s">
        <v>73</v>
      </c>
      <c r="V7" s="5" t="s">
        <v>74</v>
      </c>
      <c r="W7" s="5" t="s">
        <v>73</v>
      </c>
      <c r="X7" s="133" t="s">
        <v>79</v>
      </c>
      <c r="Y7" s="102" t="s">
        <v>64</v>
      </c>
      <c r="Z7" s="5" t="s">
        <v>73</v>
      </c>
      <c r="AA7" s="5" t="s">
        <v>74</v>
      </c>
      <c r="AB7" s="5" t="s">
        <v>73</v>
      </c>
      <c r="AC7" s="133" t="s">
        <v>79</v>
      </c>
      <c r="AD7" s="102" t="s">
        <v>64</v>
      </c>
      <c r="AE7" s="5">
        <v>2018</v>
      </c>
      <c r="AF7" s="5">
        <f>AE7+1</f>
        <v>2019</v>
      </c>
      <c r="AG7" s="104">
        <f t="shared" ref="AG7:AI7" si="34">AF7+1</f>
        <v>2020</v>
      </c>
      <c r="AH7" s="104">
        <f t="shared" si="34"/>
        <v>2021</v>
      </c>
      <c r="AI7" s="104">
        <f t="shared" si="34"/>
        <v>2022</v>
      </c>
      <c r="AJ7" s="49" t="s">
        <v>83</v>
      </c>
      <c r="AK7" s="8">
        <v>4.2200000000000001E-2</v>
      </c>
      <c r="AN7" s="32" t="s">
        <v>303</v>
      </c>
      <c r="AS7" s="356" t="s">
        <v>705</v>
      </c>
      <c r="AT7" s="356"/>
      <c r="AU7" s="356"/>
      <c r="AV7" s="356"/>
      <c r="AW7" s="356"/>
      <c r="AX7" s="356"/>
      <c r="AY7" s="356"/>
      <c r="AZ7" s="356"/>
      <c r="BA7" s="356"/>
      <c r="BB7" s="356"/>
      <c r="BD7" s="356" t="s">
        <v>706</v>
      </c>
      <c r="BE7" s="356"/>
      <c r="BF7" s="356"/>
      <c r="BG7" s="356"/>
      <c r="BH7" s="356"/>
      <c r="BI7" s="356"/>
      <c r="BJ7" s="356"/>
      <c r="BK7" s="356"/>
      <c r="BL7" s="356"/>
      <c r="BM7" s="356"/>
      <c r="BO7" s="356" t="s">
        <v>676</v>
      </c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B7" s="356" t="s">
        <v>677</v>
      </c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O7" s="4" t="s">
        <v>678</v>
      </c>
      <c r="DB7" s="4" t="s">
        <v>680</v>
      </c>
    </row>
    <row r="8" spans="1:117" x14ac:dyDescent="0.35">
      <c r="AN8" s="4" t="s">
        <v>80</v>
      </c>
      <c r="AO8" s="4" t="s">
        <v>345</v>
      </c>
      <c r="AP8" s="4" t="s">
        <v>346</v>
      </c>
    </row>
    <row r="9" spans="1:117" x14ac:dyDescent="0.35">
      <c r="A9" s="356" t="s">
        <v>67</v>
      </c>
      <c r="B9" s="356"/>
      <c r="C9" s="45"/>
      <c r="D9" s="6" t="s">
        <v>303</v>
      </c>
      <c r="E9" s="6"/>
      <c r="F9" s="6"/>
      <c r="G9" s="6"/>
      <c r="H9" s="6"/>
      <c r="I9" s="6"/>
      <c r="S9" s="7"/>
      <c r="T9" s="7"/>
    </row>
    <row r="10" spans="1:117" x14ac:dyDescent="0.35">
      <c r="A10" s="1">
        <f>'2017 Prop share of contribs'!A179</f>
        <v>263</v>
      </c>
      <c r="B10" s="1" t="str">
        <f>'2017 Prop share of contribs'!B179</f>
        <v xml:space="preserve">EASTERN KENTUCKY UNIVERSITY  </v>
      </c>
      <c r="C10" s="18" t="s">
        <v>93</v>
      </c>
      <c r="D10" s="38">
        <f>ROUND('Employer Allocations'!G7,8)</f>
        <v>0.15149457</v>
      </c>
      <c r="E10" s="38">
        <f>ROUND('Employer Allocations'!H7,8)</f>
        <v>0.12073832</v>
      </c>
      <c r="F10" s="38">
        <f>ROUND('Employer Allocations'!I7,8)</f>
        <v>0.27223289000000001</v>
      </c>
      <c r="G10" s="38">
        <v>0.24551259</v>
      </c>
      <c r="H10" s="38">
        <v>2.3139050000000001E-2</v>
      </c>
      <c r="I10" s="38">
        <v>0.26865165000000002</v>
      </c>
      <c r="J10" s="7">
        <f t="shared" ref="J10:K15" si="35">ROUND($J$2*D10,0)</f>
        <v>193364393</v>
      </c>
      <c r="K10" s="7">
        <f t="shared" si="35"/>
        <v>154107781</v>
      </c>
      <c r="L10" s="7">
        <f>J10+K10</f>
        <v>347472174</v>
      </c>
      <c r="M10" s="7"/>
      <c r="N10" s="7">
        <f t="shared" ref="N10:N15" si="36">ROUND($N$2*D10,0)</f>
        <v>239691376</v>
      </c>
      <c r="O10" s="32">
        <f t="shared" ref="O10:O15" si="37">ROUND($O$2*D10,0)</f>
        <v>172214587</v>
      </c>
      <c r="P10" s="32"/>
      <c r="Q10" s="32">
        <f t="shared" ref="Q10:Q15" si="38">ROUND(Q$2*$F10,0)</f>
        <v>22170237</v>
      </c>
      <c r="R10" s="32">
        <f>ROUND(Q$2*$E10,0)</f>
        <v>9832747</v>
      </c>
      <c r="S10" s="32">
        <f>Q10-R10</f>
        <v>12337490</v>
      </c>
      <c r="T10" s="32">
        <f>S10+AT10-BE10+BT10-CG10+CR10-DE10</f>
        <v>-10362939</v>
      </c>
      <c r="U10" s="32">
        <f t="shared" ref="U10:W15" si="39">ROUND(U$2*$D10,0)</f>
        <v>1114890</v>
      </c>
      <c r="V10" s="32">
        <f t="shared" si="39"/>
        <v>23940619</v>
      </c>
      <c r="W10" s="32">
        <f t="shared" si="39"/>
        <v>0</v>
      </c>
      <c r="X10" s="32">
        <f>AU10+BU10+CS10</f>
        <v>10670638</v>
      </c>
      <c r="Y10" s="32">
        <f>SUM(U10:X10)</f>
        <v>35726147</v>
      </c>
      <c r="Z10" s="32">
        <f t="shared" ref="Z10:AB15" si="40">ROUND(Z$2*$D10,0)</f>
        <v>4089520</v>
      </c>
      <c r="AA10" s="32">
        <f t="shared" si="40"/>
        <v>13423668</v>
      </c>
      <c r="AB10" s="32">
        <f t="shared" si="40"/>
        <v>1496101</v>
      </c>
      <c r="AC10" s="32">
        <f>BF10+CH10+DF10</f>
        <v>87634380</v>
      </c>
      <c r="AD10" s="32">
        <f>SUM(Z10:AC10)</f>
        <v>106643669</v>
      </c>
      <c r="AE10" s="32">
        <f>ROUND(AE$2*$D10,0)+AV10-BG10+BV10-CI10+CT10-DG10</f>
        <v>-21411447</v>
      </c>
      <c r="AF10" s="32">
        <f>ROUND(AF$2*$D10,0)+AX10-BI10+BX10-CK10+CV10-DI10</f>
        <v>-18940974</v>
      </c>
      <c r="AG10" s="32">
        <f>ROUND(AG$2*$D10,0)+AZ10-BK10+BZ10-CM10+CX10-DK10</f>
        <v>-22688953</v>
      </c>
      <c r="AH10" s="32">
        <f>ROUND(AH$2*$D10,0)+BB10-BM10+CZ10-DM10-1</f>
        <v>-7876148</v>
      </c>
      <c r="AI10" s="107">
        <f>Y10-AD10-AE10-AF10-AG10-AH10</f>
        <v>0</v>
      </c>
      <c r="AJ10" s="107">
        <f>Y10-AD10-AE10-AF10-AG10-AH10-AI10</f>
        <v>0</v>
      </c>
      <c r="AK10" s="7">
        <v>349600340</v>
      </c>
      <c r="AL10" s="32">
        <v>76753810</v>
      </c>
      <c r="AM10" s="105">
        <v>10816444</v>
      </c>
      <c r="AN10" s="32">
        <f>'Employer Allocations'!B7</f>
        <v>9018122</v>
      </c>
      <c r="AO10" s="32">
        <f>AK10+T10+Y10-AD10-AN10-AL10+AM10</f>
        <v>193364391</v>
      </c>
      <c r="AP10" s="32">
        <f t="shared" ref="AP10:AP15" si="41">J10-AO10</f>
        <v>2</v>
      </c>
      <c r="AQ10" s="4" t="s">
        <v>303</v>
      </c>
      <c r="AS10" s="32">
        <f>ROUND((IF(D10&gt;G10,D10-G10,0))*(AK$2-AL$2+AM$2),0)</f>
        <v>0</v>
      </c>
      <c r="AT10" s="107">
        <f t="shared" ref="AT10:AT15" si="42">ROUND(AS10/$K$2,0)</f>
        <v>0</v>
      </c>
      <c r="AU10" s="107">
        <f>AS10-AT10</f>
        <v>0</v>
      </c>
      <c r="AV10" s="4">
        <f>AT10</f>
        <v>0</v>
      </c>
      <c r="AW10" s="32">
        <f>AU10-AV10</f>
        <v>0</v>
      </c>
      <c r="AX10" s="4">
        <f>AV10</f>
        <v>0</v>
      </c>
      <c r="AY10" s="32">
        <f>AW10-AX10</f>
        <v>0</v>
      </c>
      <c r="AZ10" s="4">
        <f>AX10</f>
        <v>0</v>
      </c>
      <c r="BA10" s="32">
        <f>AY10-AZ10</f>
        <v>0</v>
      </c>
      <c r="BB10" s="32">
        <f>BA10</f>
        <v>0</v>
      </c>
      <c r="BD10" s="32">
        <f t="shared" ref="BD10:BD15" si="43">ROUND((IF(D10&lt;G10,G10-D10,0))*(AK$2-AL$2+AM$2),0)</f>
        <v>114190253</v>
      </c>
      <c r="BE10" s="107">
        <f t="shared" ref="BE10:BE15" si="44">ROUND(BD10/$K$2,0)</f>
        <v>26555873</v>
      </c>
      <c r="BF10" s="107">
        <f>BD10-BE10</f>
        <v>87634380</v>
      </c>
      <c r="BG10" s="4">
        <f>BE10</f>
        <v>26555873</v>
      </c>
      <c r="BH10" s="32">
        <f>BF10-BG10</f>
        <v>61078507</v>
      </c>
      <c r="BI10" s="4">
        <f>BG10</f>
        <v>26555873</v>
      </c>
      <c r="BJ10" s="32">
        <f>BH10-BI10</f>
        <v>34522634</v>
      </c>
      <c r="BK10" s="4">
        <f>BI10</f>
        <v>26555873</v>
      </c>
      <c r="BL10" s="32">
        <f>BJ10-BK10</f>
        <v>7966761</v>
      </c>
      <c r="BM10" s="32">
        <f>BL10</f>
        <v>7966761</v>
      </c>
      <c r="BO10" s="32">
        <v>11293663</v>
      </c>
      <c r="BP10" s="32">
        <v>2171858</v>
      </c>
      <c r="BQ10" s="32">
        <v>9121805</v>
      </c>
      <c r="BR10" s="4">
        <v>2171858</v>
      </c>
      <c r="BS10" s="32">
        <v>6949947</v>
      </c>
      <c r="BT10" s="39">
        <v>2171858</v>
      </c>
      <c r="BU10" s="107">
        <v>4778089</v>
      </c>
      <c r="BV10" s="4">
        <v>2171858</v>
      </c>
      <c r="BW10" s="32">
        <v>2606231</v>
      </c>
      <c r="BX10" s="4">
        <v>2171858</v>
      </c>
      <c r="BY10" s="32">
        <v>434373</v>
      </c>
      <c r="BZ10" s="32">
        <v>434373</v>
      </c>
      <c r="CB10" s="32">
        <v>0</v>
      </c>
      <c r="CC10" s="32">
        <v>0</v>
      </c>
      <c r="CD10" s="32">
        <v>0</v>
      </c>
      <c r="CE10" s="4">
        <v>0</v>
      </c>
      <c r="CF10" s="32">
        <v>0</v>
      </c>
      <c r="CG10" s="39">
        <v>0</v>
      </c>
      <c r="CH10" s="107">
        <v>0</v>
      </c>
      <c r="CI10" s="4">
        <v>0</v>
      </c>
      <c r="CJ10" s="32">
        <v>0</v>
      </c>
      <c r="CK10" s="4">
        <v>0</v>
      </c>
      <c r="CL10" s="32">
        <v>0</v>
      </c>
      <c r="CM10" s="32">
        <v>0</v>
      </c>
      <c r="CO10" s="4">
        <v>9259721</v>
      </c>
      <c r="CP10" s="4">
        <v>1683586</v>
      </c>
      <c r="CQ10" s="4">
        <v>7576135</v>
      </c>
      <c r="CR10" s="39">
        <v>1683586</v>
      </c>
      <c r="CS10" s="39">
        <v>5892549</v>
      </c>
      <c r="CT10" s="4">
        <v>1683586</v>
      </c>
      <c r="CU10" s="4">
        <v>4208963</v>
      </c>
      <c r="CV10" s="4">
        <v>1683586</v>
      </c>
      <c r="CW10" s="4">
        <v>2525377</v>
      </c>
      <c r="CX10" s="4">
        <v>1683586</v>
      </c>
      <c r="CY10" s="4">
        <v>841791</v>
      </c>
      <c r="CZ10" s="4">
        <v>841791</v>
      </c>
      <c r="DB10" s="4">
        <v>0</v>
      </c>
      <c r="DC10" s="4">
        <v>0</v>
      </c>
      <c r="DD10" s="4">
        <v>0</v>
      </c>
      <c r="DE10" s="39">
        <v>0</v>
      </c>
      <c r="DF10" s="39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</row>
    <row r="11" spans="1:117" x14ac:dyDescent="0.35">
      <c r="A11" s="1">
        <f>'2017 Prop share of contribs'!A180</f>
        <v>266</v>
      </c>
      <c r="B11" s="1" t="str">
        <f>'2017 Prop share of contribs'!B180</f>
        <v xml:space="preserve">KENTUCKY STATE UNIVERSITY  </v>
      </c>
      <c r="C11" s="18" t="s">
        <v>94</v>
      </c>
      <c r="D11" s="38">
        <f>ROUND('Employer Allocations'!G8,8)</f>
        <v>3.1760450000000003E-2</v>
      </c>
      <c r="E11" s="38">
        <f>ROUND('Employer Allocations'!H8,8)</f>
        <v>2.531247E-2</v>
      </c>
      <c r="F11" s="38">
        <f>ROUND('Employer Allocations'!I8,8)</f>
        <v>5.7072919999999999E-2</v>
      </c>
      <c r="G11" s="38">
        <v>4.8404679999999999E-2</v>
      </c>
      <c r="H11" s="38">
        <v>4.5620499999999998E-3</v>
      </c>
      <c r="I11" s="38">
        <v>5.2966720000000002E-2</v>
      </c>
      <c r="J11" s="7">
        <f t="shared" si="35"/>
        <v>40538352</v>
      </c>
      <c r="K11" s="7">
        <f t="shared" si="35"/>
        <v>32308289</v>
      </c>
      <c r="L11" s="7">
        <f t="shared" ref="L11:L18" si="45">J11+K11</f>
        <v>72846641</v>
      </c>
      <c r="M11" s="7"/>
      <c r="N11" s="7">
        <f t="shared" si="36"/>
        <v>50250685</v>
      </c>
      <c r="O11" s="32">
        <f t="shared" si="37"/>
        <v>36104349</v>
      </c>
      <c r="P11" s="32"/>
      <c r="Q11" s="32">
        <f t="shared" si="38"/>
        <v>4647933</v>
      </c>
      <c r="R11" s="32">
        <f t="shared" ref="R11:R15" si="46">ROUND(Q$2*$E11,0)</f>
        <v>2061409</v>
      </c>
      <c r="S11" s="32">
        <f t="shared" ref="S11:S15" si="47">Q11-R11</f>
        <v>2586524</v>
      </c>
      <c r="T11" s="32">
        <f t="shared" ref="T11:T15" si="48">S11+AT11-BE11+BT11-CG11+CR11-DE11</f>
        <v>-5053509</v>
      </c>
      <c r="U11" s="32">
        <f t="shared" si="39"/>
        <v>233734</v>
      </c>
      <c r="V11" s="32">
        <f t="shared" si="39"/>
        <v>5019090</v>
      </c>
      <c r="W11" s="32">
        <f t="shared" si="39"/>
        <v>0</v>
      </c>
      <c r="X11" s="32">
        <f t="shared" ref="X11:X15" si="49">AU11+BU11+CS11</f>
        <v>0</v>
      </c>
      <c r="Y11" s="32">
        <f t="shared" ref="Y11:Y18" si="50">SUM(U11:X11)</f>
        <v>5252824</v>
      </c>
      <c r="Z11" s="32">
        <f t="shared" si="40"/>
        <v>857357</v>
      </c>
      <c r="AA11" s="32">
        <f t="shared" si="40"/>
        <v>2814238</v>
      </c>
      <c r="AB11" s="32">
        <f t="shared" si="40"/>
        <v>313654</v>
      </c>
      <c r="AC11" s="32">
        <f t="shared" ref="AC11:AC15" si="51">BF11+CH11+DF11</f>
        <v>23826558</v>
      </c>
      <c r="AD11" s="32">
        <f t="shared" ref="AD11:AD15" si="52">SUM(Z11:AC11)</f>
        <v>27811807</v>
      </c>
      <c r="AE11" s="32">
        <f t="shared" ref="AE11:AE15" si="53">ROUND(AE$2*$D11,0)+AV11-BG11+BV11-CI11+CT11-DG11</f>
        <v>-7369801</v>
      </c>
      <c r="AF11" s="32">
        <f t="shared" ref="AF11:AF15" si="54">ROUND(AF$2*$D11,0)+AX11-BI11+BX11-CK11+CV11-DI11</f>
        <v>-6851873</v>
      </c>
      <c r="AG11" s="32">
        <f t="shared" ref="AG11:AG15" si="55">ROUND(AG$2*$D11,0)+AZ11-BK11+BZ11-CM11+CX11-DK11</f>
        <v>-6059024</v>
      </c>
      <c r="AH11" s="32">
        <f t="shared" ref="AH11:AH15" si="56">ROUND(AH$2*$D11,0)+BB11-BM11+CZ11-DM11</f>
        <v>-2278285</v>
      </c>
      <c r="AI11" s="107">
        <f t="shared" ref="AI11:AI15" si="57">Y11-AD11-AE11-AF11-AG11-AH11</f>
        <v>0</v>
      </c>
      <c r="AJ11" s="107">
        <f t="shared" ref="AJ11:AJ15" si="58">Y11-AD11-AE11-AF11-AG11-AH11-AI11</f>
        <v>0</v>
      </c>
      <c r="AK11" s="7">
        <v>68926374</v>
      </c>
      <c r="AL11" s="32">
        <v>12268671</v>
      </c>
      <c r="AM11" s="105">
        <v>13383767</v>
      </c>
      <c r="AN11" s="32">
        <f>'Employer Allocations'!B8</f>
        <v>1890626</v>
      </c>
      <c r="AO11" s="32">
        <f t="shared" ref="AO11:AO15" si="59">AK11+T11+Y11-AD11-AN11-AL11+AM11</f>
        <v>40538352</v>
      </c>
      <c r="AP11" s="32">
        <f t="shared" si="41"/>
        <v>0</v>
      </c>
      <c r="AS11" s="32">
        <f t="shared" ref="AS11:AS15" si="60">ROUND((IF(D11&gt;G11,D11-G11,0))*(AK$2-AL$2+AM$2),0)</f>
        <v>0</v>
      </c>
      <c r="AT11" s="107">
        <f t="shared" si="42"/>
        <v>0</v>
      </c>
      <c r="AU11" s="107">
        <f t="shared" ref="AU11:AU15" si="61">AS11-AT11</f>
        <v>0</v>
      </c>
      <c r="AV11" s="4">
        <f t="shared" ref="AV11:AV15" si="62">AT11</f>
        <v>0</v>
      </c>
      <c r="AW11" s="32">
        <f t="shared" ref="AW11:AW15" si="63">AU11-AV11</f>
        <v>0</v>
      </c>
      <c r="AX11" s="4">
        <f t="shared" ref="AX11:AX15" si="64">AV11</f>
        <v>0</v>
      </c>
      <c r="AY11" s="32">
        <f t="shared" ref="AY11:AY15" si="65">AW11-AX11</f>
        <v>0</v>
      </c>
      <c r="AZ11" s="4">
        <f t="shared" ref="AZ11:AZ15" si="66">AX11</f>
        <v>0</v>
      </c>
      <c r="BA11" s="32">
        <f t="shared" ref="BA11:BA15" si="67">AY11-AZ11</f>
        <v>0</v>
      </c>
      <c r="BB11" s="32">
        <f t="shared" ref="BB11:BB18" si="68">BA11</f>
        <v>0</v>
      </c>
      <c r="BD11" s="32">
        <f t="shared" si="43"/>
        <v>20215368</v>
      </c>
      <c r="BE11" s="107">
        <f t="shared" si="44"/>
        <v>4701248</v>
      </c>
      <c r="BF11" s="107">
        <f t="shared" ref="BF11:BF15" si="69">BD11-BE11</f>
        <v>15514120</v>
      </c>
      <c r="BG11" s="4">
        <f t="shared" ref="BG11:BG15" si="70">BE11</f>
        <v>4701248</v>
      </c>
      <c r="BH11" s="32">
        <f t="shared" ref="BH11:BH15" si="71">BF11-BG11</f>
        <v>10812872</v>
      </c>
      <c r="BI11" s="4">
        <f t="shared" ref="BI11:BI15" si="72">BG11</f>
        <v>4701248</v>
      </c>
      <c r="BJ11" s="32">
        <f t="shared" ref="BJ11:BJ15" si="73">BH11-BI11</f>
        <v>6111624</v>
      </c>
      <c r="BK11" s="4">
        <f t="shared" ref="BK11:BK15" si="74">BI11</f>
        <v>4701248</v>
      </c>
      <c r="BL11" s="32">
        <f t="shared" ref="BL11:BL15" si="75">BJ11-BK11</f>
        <v>1410376</v>
      </c>
      <c r="BM11" s="32">
        <f t="shared" ref="BM11:BM18" si="76">BL11</f>
        <v>1410376</v>
      </c>
      <c r="BO11" s="32">
        <v>0</v>
      </c>
      <c r="BP11" s="32">
        <v>0</v>
      </c>
      <c r="BQ11" s="32">
        <v>0</v>
      </c>
      <c r="BR11" s="4">
        <v>0</v>
      </c>
      <c r="BS11" s="32">
        <v>0</v>
      </c>
      <c r="BT11" s="39">
        <v>0</v>
      </c>
      <c r="BU11" s="107">
        <v>0</v>
      </c>
      <c r="BV11" s="4">
        <v>0</v>
      </c>
      <c r="BW11" s="32">
        <v>0</v>
      </c>
      <c r="BX11" s="4">
        <v>0</v>
      </c>
      <c r="BY11" s="32">
        <v>0</v>
      </c>
      <c r="BZ11" s="32">
        <v>0</v>
      </c>
      <c r="CB11" s="32">
        <v>7893218</v>
      </c>
      <c r="CC11" s="32">
        <v>1517927</v>
      </c>
      <c r="CD11" s="32">
        <v>6375291</v>
      </c>
      <c r="CE11" s="4">
        <v>1517927</v>
      </c>
      <c r="CF11" s="32">
        <v>4857364</v>
      </c>
      <c r="CG11" s="39">
        <v>1517927</v>
      </c>
      <c r="CH11" s="107">
        <v>3339437</v>
      </c>
      <c r="CI11" s="4">
        <v>1517927</v>
      </c>
      <c r="CJ11" s="32">
        <v>1821510</v>
      </c>
      <c r="CK11" s="4">
        <v>1517927</v>
      </c>
      <c r="CL11" s="32">
        <v>303583</v>
      </c>
      <c r="CM11" s="32">
        <v>303583</v>
      </c>
      <c r="CO11" s="4">
        <v>0</v>
      </c>
      <c r="CP11" s="4">
        <v>0</v>
      </c>
      <c r="CQ11" s="4">
        <v>0</v>
      </c>
      <c r="CR11" s="39">
        <v>0</v>
      </c>
      <c r="CS11" s="39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B11" s="4">
        <v>7814717</v>
      </c>
      <c r="DC11" s="4">
        <v>1420858</v>
      </c>
      <c r="DD11" s="4">
        <v>6393859</v>
      </c>
      <c r="DE11" s="39">
        <v>1420858</v>
      </c>
      <c r="DF11" s="39">
        <v>4973001</v>
      </c>
      <c r="DG11" s="4">
        <v>1420858</v>
      </c>
      <c r="DH11" s="4">
        <v>3552143</v>
      </c>
      <c r="DI11" s="4">
        <v>1420858</v>
      </c>
      <c r="DJ11" s="4">
        <v>2131285</v>
      </c>
      <c r="DK11" s="4">
        <v>1420858</v>
      </c>
      <c r="DL11" s="4">
        <v>710427</v>
      </c>
      <c r="DM11" s="4">
        <v>710427</v>
      </c>
    </row>
    <row r="12" spans="1:117" x14ac:dyDescent="0.35">
      <c r="A12" s="1">
        <f>'2017 Prop share of contribs'!A181</f>
        <v>269</v>
      </c>
      <c r="B12" s="1" t="str">
        <f>'2017 Prop share of contribs'!B181</f>
        <v xml:space="preserve">MOREHEAD STATE UNIVERSITY  </v>
      </c>
      <c r="C12" s="18" t="s">
        <v>95</v>
      </c>
      <c r="D12" s="38">
        <f>ROUND('Employer Allocations'!G9,8)</f>
        <v>8.1074439999999998E-2</v>
      </c>
      <c r="E12" s="38">
        <f>ROUND('Employer Allocations'!H9,8)</f>
        <v>6.4614790000000005E-2</v>
      </c>
      <c r="F12" s="38">
        <f>ROUND('Employer Allocations'!I9,8)</f>
        <v>0.14568922000000001</v>
      </c>
      <c r="G12" s="38">
        <v>0.13529985999999999</v>
      </c>
      <c r="H12" s="38">
        <v>1.2751729999999999E-2</v>
      </c>
      <c r="I12" s="38">
        <v>0.14805159000000001</v>
      </c>
      <c r="J12" s="7">
        <f t="shared" si="35"/>
        <v>103481662</v>
      </c>
      <c r="K12" s="7">
        <f t="shared" si="35"/>
        <v>82472921</v>
      </c>
      <c r="L12" s="7">
        <f t="shared" si="45"/>
        <v>185954583</v>
      </c>
      <c r="M12" s="7"/>
      <c r="N12" s="7">
        <f t="shared" si="36"/>
        <v>128274195</v>
      </c>
      <c r="O12" s="32">
        <f t="shared" si="37"/>
        <v>92163047</v>
      </c>
      <c r="P12" s="32"/>
      <c r="Q12" s="32">
        <f t="shared" si="38"/>
        <v>11864711</v>
      </c>
      <c r="R12" s="32">
        <f t="shared" si="46"/>
        <v>5262131</v>
      </c>
      <c r="S12" s="32">
        <f t="shared" si="47"/>
        <v>6602580</v>
      </c>
      <c r="T12" s="32">
        <f t="shared" si="48"/>
        <v>-6993727</v>
      </c>
      <c r="U12" s="32">
        <f t="shared" si="39"/>
        <v>596649</v>
      </c>
      <c r="V12" s="32">
        <f t="shared" si="39"/>
        <v>12812158</v>
      </c>
      <c r="W12" s="32">
        <f t="shared" si="39"/>
        <v>0</v>
      </c>
      <c r="X12" s="32">
        <f t="shared" si="49"/>
        <v>5154845</v>
      </c>
      <c r="Y12" s="32">
        <f t="shared" si="50"/>
        <v>18563652</v>
      </c>
      <c r="Z12" s="32">
        <f t="shared" si="40"/>
        <v>2188564</v>
      </c>
      <c r="AA12" s="32">
        <f t="shared" si="40"/>
        <v>7183864</v>
      </c>
      <c r="AB12" s="32">
        <f t="shared" si="40"/>
        <v>800659</v>
      </c>
      <c r="AC12" s="32">
        <f t="shared" si="51"/>
        <v>50543620</v>
      </c>
      <c r="AD12" s="32">
        <f t="shared" si="52"/>
        <v>60716707</v>
      </c>
      <c r="AE12" s="32">
        <f t="shared" si="53"/>
        <v>-12906490</v>
      </c>
      <c r="AF12" s="32">
        <f t="shared" si="54"/>
        <v>-11584382</v>
      </c>
      <c r="AG12" s="32">
        <f t="shared" si="55"/>
        <v>-13192602</v>
      </c>
      <c r="AH12" s="32">
        <f t="shared" si="56"/>
        <v>-4469581</v>
      </c>
      <c r="AI12" s="107">
        <f t="shared" si="57"/>
        <v>0</v>
      </c>
      <c r="AJ12" s="107">
        <f t="shared" si="58"/>
        <v>0</v>
      </c>
      <c r="AK12" s="7">
        <v>192661717</v>
      </c>
      <c r="AL12" s="32">
        <v>41167947</v>
      </c>
      <c r="AM12" s="105">
        <v>5960849</v>
      </c>
      <c r="AN12" s="32">
        <f>'Employer Allocations'!B9</f>
        <v>4826174</v>
      </c>
      <c r="AO12" s="32">
        <f t="shared" si="59"/>
        <v>103481663</v>
      </c>
      <c r="AP12" s="32">
        <f t="shared" si="41"/>
        <v>-1</v>
      </c>
      <c r="AS12" s="32">
        <f t="shared" si="60"/>
        <v>0</v>
      </c>
      <c r="AT12" s="107">
        <f t="shared" si="42"/>
        <v>0</v>
      </c>
      <c r="AU12" s="107">
        <f t="shared" si="61"/>
        <v>0</v>
      </c>
      <c r="AV12" s="4">
        <f t="shared" si="62"/>
        <v>0</v>
      </c>
      <c r="AW12" s="32">
        <f t="shared" si="63"/>
        <v>0</v>
      </c>
      <c r="AX12" s="4">
        <f t="shared" si="64"/>
        <v>0</v>
      </c>
      <c r="AY12" s="32">
        <f t="shared" si="65"/>
        <v>0</v>
      </c>
      <c r="AZ12" s="4">
        <f t="shared" si="66"/>
        <v>0</v>
      </c>
      <c r="BA12" s="32">
        <f t="shared" si="67"/>
        <v>0</v>
      </c>
      <c r="BB12" s="32">
        <f t="shared" si="68"/>
        <v>0</v>
      </c>
      <c r="BD12" s="32">
        <f t="shared" si="43"/>
        <v>65859868</v>
      </c>
      <c r="BE12" s="107">
        <f t="shared" si="44"/>
        <v>15316248</v>
      </c>
      <c r="BF12" s="107">
        <f t="shared" si="69"/>
        <v>50543620</v>
      </c>
      <c r="BG12" s="4">
        <f t="shared" si="70"/>
        <v>15316248</v>
      </c>
      <c r="BH12" s="32">
        <f t="shared" si="71"/>
        <v>35227372</v>
      </c>
      <c r="BI12" s="4">
        <f t="shared" si="72"/>
        <v>15316248</v>
      </c>
      <c r="BJ12" s="32">
        <f t="shared" si="73"/>
        <v>19911124</v>
      </c>
      <c r="BK12" s="4">
        <f t="shared" si="74"/>
        <v>15316248</v>
      </c>
      <c r="BL12" s="32">
        <f t="shared" si="75"/>
        <v>4594876</v>
      </c>
      <c r="BM12" s="32">
        <f t="shared" si="76"/>
        <v>4594876</v>
      </c>
      <c r="BO12" s="32">
        <v>3459800</v>
      </c>
      <c r="BP12" s="32">
        <v>665346</v>
      </c>
      <c r="BQ12" s="32">
        <v>2794454</v>
      </c>
      <c r="BR12" s="4">
        <v>665346</v>
      </c>
      <c r="BS12" s="32">
        <v>2129108</v>
      </c>
      <c r="BT12" s="39">
        <v>665346</v>
      </c>
      <c r="BU12" s="107">
        <v>1463762</v>
      </c>
      <c r="BV12" s="4">
        <v>665346</v>
      </c>
      <c r="BW12" s="32">
        <v>798416</v>
      </c>
      <c r="BX12" s="4">
        <v>665346</v>
      </c>
      <c r="BY12" s="32">
        <v>133070</v>
      </c>
      <c r="BZ12" s="32">
        <v>133070</v>
      </c>
      <c r="CB12" s="32">
        <v>0</v>
      </c>
      <c r="CC12" s="32">
        <v>0</v>
      </c>
      <c r="CD12" s="32">
        <v>0</v>
      </c>
      <c r="CE12" s="4">
        <v>0</v>
      </c>
      <c r="CF12" s="32">
        <v>0</v>
      </c>
      <c r="CG12" s="39">
        <v>0</v>
      </c>
      <c r="CH12" s="107">
        <v>0</v>
      </c>
      <c r="CI12" s="4">
        <v>0</v>
      </c>
      <c r="CJ12" s="32">
        <v>0</v>
      </c>
      <c r="CK12" s="4">
        <v>0</v>
      </c>
      <c r="CL12" s="32">
        <v>0</v>
      </c>
      <c r="CM12" s="32">
        <v>0</v>
      </c>
      <c r="CO12" s="4">
        <v>5800273</v>
      </c>
      <c r="CP12" s="4">
        <v>1054595</v>
      </c>
      <c r="CQ12" s="4">
        <v>4745678</v>
      </c>
      <c r="CR12" s="39">
        <v>1054595</v>
      </c>
      <c r="CS12" s="39">
        <v>3691083</v>
      </c>
      <c r="CT12" s="4">
        <v>1054595</v>
      </c>
      <c r="CU12" s="4">
        <v>2636488</v>
      </c>
      <c r="CV12" s="4">
        <v>1054595</v>
      </c>
      <c r="CW12" s="4">
        <v>1581893</v>
      </c>
      <c r="CX12" s="4">
        <v>1054595</v>
      </c>
      <c r="CY12" s="4">
        <v>527298</v>
      </c>
      <c r="CZ12" s="4">
        <v>527298</v>
      </c>
      <c r="DB12" s="4">
        <v>0</v>
      </c>
      <c r="DC12" s="4">
        <v>0</v>
      </c>
      <c r="DD12" s="4">
        <v>0</v>
      </c>
      <c r="DE12" s="39">
        <v>0</v>
      </c>
      <c r="DF12" s="39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</row>
    <row r="13" spans="1:117" x14ac:dyDescent="0.35">
      <c r="A13" s="1">
        <f>'2017 Prop share of contribs'!A182</f>
        <v>270</v>
      </c>
      <c r="B13" s="1" t="str">
        <f>'2017 Prop share of contribs'!B182</f>
        <v xml:space="preserve">MURRAY STATE UNIVERSITY  </v>
      </c>
      <c r="C13" s="18" t="s">
        <v>96</v>
      </c>
      <c r="D13" s="38">
        <f>ROUND('Employer Allocations'!G10,8)</f>
        <v>8.9484939999999999E-2</v>
      </c>
      <c r="E13" s="38">
        <f>ROUND('Employer Allocations'!H10,8)</f>
        <v>7.1317800000000001E-2</v>
      </c>
      <c r="F13" s="38">
        <f>ROUND('Employer Allocations'!I10,8)</f>
        <v>0.16080274999999999</v>
      </c>
      <c r="G13" s="38">
        <v>0.15161954</v>
      </c>
      <c r="H13" s="38">
        <v>1.428983E-2</v>
      </c>
      <c r="I13" s="38">
        <v>0.16590937</v>
      </c>
      <c r="J13" s="7">
        <f t="shared" si="35"/>
        <v>114216642</v>
      </c>
      <c r="K13" s="7">
        <f t="shared" si="35"/>
        <v>91028498</v>
      </c>
      <c r="L13" s="7">
        <f t="shared" si="45"/>
        <v>205245140</v>
      </c>
      <c r="M13" s="7"/>
      <c r="N13" s="7">
        <f t="shared" si="36"/>
        <v>141581103</v>
      </c>
      <c r="O13" s="32">
        <f t="shared" si="37"/>
        <v>101723857</v>
      </c>
      <c r="P13" s="32"/>
      <c r="Q13" s="32">
        <f t="shared" si="38"/>
        <v>13095534</v>
      </c>
      <c r="R13" s="32">
        <f t="shared" si="46"/>
        <v>5808014</v>
      </c>
      <c r="S13" s="32">
        <f t="shared" si="47"/>
        <v>7287520</v>
      </c>
      <c r="T13" s="32">
        <f t="shared" si="48"/>
        <v>-9277141</v>
      </c>
      <c r="U13" s="32">
        <f t="shared" si="39"/>
        <v>658544</v>
      </c>
      <c r="V13" s="32">
        <f t="shared" si="39"/>
        <v>14141265</v>
      </c>
      <c r="W13" s="32">
        <f t="shared" si="39"/>
        <v>0</v>
      </c>
      <c r="X13" s="32">
        <f t="shared" si="49"/>
        <v>2583416</v>
      </c>
      <c r="Y13" s="32">
        <f t="shared" si="50"/>
        <v>17383225</v>
      </c>
      <c r="Z13" s="32">
        <f t="shared" si="40"/>
        <v>2415601</v>
      </c>
      <c r="AA13" s="32">
        <f t="shared" si="40"/>
        <v>7929103</v>
      </c>
      <c r="AB13" s="32">
        <f t="shared" si="40"/>
        <v>883718</v>
      </c>
      <c r="AC13" s="32">
        <f t="shared" si="51"/>
        <v>58576242</v>
      </c>
      <c r="AD13" s="32">
        <f t="shared" si="52"/>
        <v>69804664</v>
      </c>
      <c r="AE13" s="32">
        <f t="shared" si="53"/>
        <v>-15803284</v>
      </c>
      <c r="AF13" s="32">
        <f t="shared" si="54"/>
        <v>-14344023</v>
      </c>
      <c r="AG13" s="32">
        <f t="shared" si="55"/>
        <v>-16471004</v>
      </c>
      <c r="AH13" s="32">
        <f t="shared" si="56"/>
        <v>-5803128</v>
      </c>
      <c r="AI13" s="107">
        <f t="shared" si="57"/>
        <v>0</v>
      </c>
      <c r="AJ13" s="107">
        <f t="shared" si="58"/>
        <v>0</v>
      </c>
      <c r="AK13" s="7">
        <v>215900304</v>
      </c>
      <c r="AL13" s="32">
        <v>42187250</v>
      </c>
      <c r="AM13" s="105">
        <v>7529001</v>
      </c>
      <c r="AN13" s="32">
        <f>'Employer Allocations'!B10</f>
        <v>5326832</v>
      </c>
      <c r="AO13" s="32">
        <f t="shared" si="59"/>
        <v>114216643</v>
      </c>
      <c r="AP13" s="32">
        <f t="shared" si="41"/>
        <v>-1</v>
      </c>
      <c r="AS13" s="32">
        <f t="shared" si="60"/>
        <v>0</v>
      </c>
      <c r="AT13" s="107">
        <f t="shared" si="42"/>
        <v>0</v>
      </c>
      <c r="AU13" s="107">
        <f t="shared" si="61"/>
        <v>0</v>
      </c>
      <c r="AV13" s="4">
        <f t="shared" si="62"/>
        <v>0</v>
      </c>
      <c r="AW13" s="32">
        <f t="shared" si="63"/>
        <v>0</v>
      </c>
      <c r="AX13" s="4">
        <f t="shared" si="64"/>
        <v>0</v>
      </c>
      <c r="AY13" s="32">
        <f t="shared" si="65"/>
        <v>0</v>
      </c>
      <c r="AZ13" s="4">
        <f t="shared" si="66"/>
        <v>0</v>
      </c>
      <c r="BA13" s="32">
        <f t="shared" si="67"/>
        <v>0</v>
      </c>
      <c r="BB13" s="32">
        <f t="shared" si="68"/>
        <v>0</v>
      </c>
      <c r="BD13" s="32">
        <f t="shared" si="43"/>
        <v>75466019</v>
      </c>
      <c r="BE13" s="107">
        <f t="shared" si="44"/>
        <v>17550237</v>
      </c>
      <c r="BF13" s="107">
        <f t="shared" si="69"/>
        <v>57915782</v>
      </c>
      <c r="BG13" s="4">
        <f t="shared" si="70"/>
        <v>17550237</v>
      </c>
      <c r="BH13" s="32">
        <f t="shared" si="71"/>
        <v>40365545</v>
      </c>
      <c r="BI13" s="4">
        <f t="shared" si="72"/>
        <v>17550237</v>
      </c>
      <c r="BJ13" s="32">
        <f t="shared" si="73"/>
        <v>22815308</v>
      </c>
      <c r="BK13" s="4">
        <f t="shared" si="74"/>
        <v>17550237</v>
      </c>
      <c r="BL13" s="32">
        <f t="shared" si="75"/>
        <v>5265071</v>
      </c>
      <c r="BM13" s="32">
        <f t="shared" si="76"/>
        <v>5265071</v>
      </c>
      <c r="BO13" s="32">
        <v>6106253</v>
      </c>
      <c r="BP13" s="32">
        <v>1174279</v>
      </c>
      <c r="BQ13" s="32">
        <v>4931974</v>
      </c>
      <c r="BR13" s="4">
        <v>1174279</v>
      </c>
      <c r="BS13" s="32">
        <v>3757695</v>
      </c>
      <c r="BT13" s="39">
        <v>1174279</v>
      </c>
      <c r="BU13" s="107">
        <v>2583416</v>
      </c>
      <c r="BV13" s="4">
        <v>1174279</v>
      </c>
      <c r="BW13" s="32">
        <v>1409137</v>
      </c>
      <c r="BX13" s="4">
        <v>1174279</v>
      </c>
      <c r="BY13" s="32">
        <v>234858</v>
      </c>
      <c r="BZ13" s="32">
        <v>234858</v>
      </c>
      <c r="CB13" s="32">
        <v>0</v>
      </c>
      <c r="CC13" s="32">
        <v>0</v>
      </c>
      <c r="CD13" s="32">
        <v>0</v>
      </c>
      <c r="CE13" s="4">
        <v>0</v>
      </c>
      <c r="CF13" s="32">
        <v>0</v>
      </c>
      <c r="CG13" s="39">
        <v>0</v>
      </c>
      <c r="CH13" s="107">
        <v>0</v>
      </c>
      <c r="CI13" s="4">
        <v>0</v>
      </c>
      <c r="CJ13" s="32">
        <v>0</v>
      </c>
      <c r="CK13" s="4">
        <v>0</v>
      </c>
      <c r="CL13" s="32">
        <v>0</v>
      </c>
      <c r="CM13" s="32">
        <v>0</v>
      </c>
      <c r="CO13" s="4">
        <v>0</v>
      </c>
      <c r="CP13" s="4">
        <v>0</v>
      </c>
      <c r="CQ13" s="4">
        <v>0</v>
      </c>
      <c r="CR13" s="39">
        <v>0</v>
      </c>
      <c r="CS13" s="39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B13" s="4">
        <v>1037866</v>
      </c>
      <c r="DC13" s="4">
        <v>188703</v>
      </c>
      <c r="DD13" s="4">
        <v>849163</v>
      </c>
      <c r="DE13" s="39">
        <v>188703</v>
      </c>
      <c r="DF13" s="39">
        <v>660460</v>
      </c>
      <c r="DG13" s="4">
        <v>188703</v>
      </c>
      <c r="DH13" s="4">
        <v>471757</v>
      </c>
      <c r="DI13" s="4">
        <v>188703</v>
      </c>
      <c r="DJ13" s="4">
        <v>283054</v>
      </c>
      <c r="DK13" s="4">
        <v>188703</v>
      </c>
      <c r="DL13" s="4">
        <v>94351</v>
      </c>
      <c r="DM13" s="4">
        <v>94351</v>
      </c>
    </row>
    <row r="14" spans="1:117" x14ac:dyDescent="0.35">
      <c r="A14" s="1">
        <f>'2017 Prop share of contribs'!A183</f>
        <v>273</v>
      </c>
      <c r="B14" s="1" t="str">
        <f>'2017 Prop share of contribs'!B183</f>
        <v xml:space="preserve">WESTERN KENTUCKY UNIVERSITY  </v>
      </c>
      <c r="C14" s="18" t="s">
        <v>97</v>
      </c>
      <c r="D14" s="38">
        <f>ROUND('Employer Allocations'!G11,8)-0.00000001</f>
        <v>0.16220538000000001</v>
      </c>
      <c r="E14" s="38">
        <f>ROUND('Employer Allocations'!H11,8)</f>
        <v>0.12927463</v>
      </c>
      <c r="F14" s="38">
        <f>ROUND('Employer Allocations'!I11,8)-0.00000001</f>
        <v>0.29148001000000001</v>
      </c>
      <c r="G14" s="38">
        <v>0.26223615</v>
      </c>
      <c r="H14" s="38">
        <v>2.4715230000000001E-2</v>
      </c>
      <c r="I14" s="38">
        <v>0.28695138999999997</v>
      </c>
      <c r="J14" s="7">
        <f>ROUND($J$2*D14,0)+1</f>
        <v>207035441</v>
      </c>
      <c r="K14" s="7">
        <f t="shared" si="35"/>
        <v>165003342</v>
      </c>
      <c r="L14" s="7">
        <f t="shared" si="45"/>
        <v>372038783</v>
      </c>
      <c r="M14" s="7"/>
      <c r="N14" s="7">
        <f t="shared" si="36"/>
        <v>256637784</v>
      </c>
      <c r="O14" s="32">
        <f t="shared" si="37"/>
        <v>184390322</v>
      </c>
      <c r="P14" s="32"/>
      <c r="Q14" s="32">
        <f t="shared" si="38"/>
        <v>23737693</v>
      </c>
      <c r="R14" s="32">
        <f>ROUND(Q$2*$E14,0)+1</f>
        <v>10527932</v>
      </c>
      <c r="S14" s="32">
        <f t="shared" si="47"/>
        <v>13209761</v>
      </c>
      <c r="T14" s="32">
        <f>S14+AT14-BE14+BT14-CG14+CR14-DE14+1</f>
        <v>-14368561</v>
      </c>
      <c r="U14" s="32">
        <f>ROUND(U$2*$D14,0)+1</f>
        <v>1193715</v>
      </c>
      <c r="V14" s="32">
        <f t="shared" si="39"/>
        <v>25633244</v>
      </c>
      <c r="W14" s="32">
        <f t="shared" si="39"/>
        <v>0</v>
      </c>
      <c r="X14" s="32">
        <f t="shared" si="49"/>
        <v>2477780</v>
      </c>
      <c r="Y14" s="32">
        <f t="shared" si="50"/>
        <v>29304739</v>
      </c>
      <c r="Z14" s="32">
        <f t="shared" si="40"/>
        <v>4378653</v>
      </c>
      <c r="AA14" s="32">
        <f t="shared" si="40"/>
        <v>14372734</v>
      </c>
      <c r="AB14" s="32">
        <f t="shared" si="40"/>
        <v>1601876</v>
      </c>
      <c r="AC14" s="32">
        <f t="shared" si="51"/>
        <v>93309399</v>
      </c>
      <c r="AD14" s="32">
        <f t="shared" si="52"/>
        <v>113662662</v>
      </c>
      <c r="AE14" s="32">
        <f t="shared" si="53"/>
        <v>-26198208</v>
      </c>
      <c r="AF14" s="32">
        <f t="shared" si="54"/>
        <v>-23553071</v>
      </c>
      <c r="AG14" s="32">
        <f t="shared" si="55"/>
        <v>-25680066</v>
      </c>
      <c r="AH14" s="32">
        <f t="shared" si="56"/>
        <v>-8926578</v>
      </c>
      <c r="AI14" s="107">
        <f t="shared" si="57"/>
        <v>0</v>
      </c>
      <c r="AJ14" s="107">
        <f t="shared" si="58"/>
        <v>0</v>
      </c>
      <c r="AK14" s="7">
        <v>373414036</v>
      </c>
      <c r="AL14" s="32">
        <v>69652205</v>
      </c>
      <c r="AM14" s="105">
        <v>11655806</v>
      </c>
      <c r="AN14" s="32">
        <f>'Employer Allocations'!B11</f>
        <v>9655712</v>
      </c>
      <c r="AO14" s="32">
        <f t="shared" si="59"/>
        <v>207035441</v>
      </c>
      <c r="AP14" s="32">
        <f t="shared" si="41"/>
        <v>0</v>
      </c>
      <c r="AS14" s="32">
        <f t="shared" si="60"/>
        <v>0</v>
      </c>
      <c r="AT14" s="107">
        <f t="shared" si="42"/>
        <v>0</v>
      </c>
      <c r="AU14" s="107">
        <f t="shared" si="61"/>
        <v>0</v>
      </c>
      <c r="AV14" s="4">
        <f t="shared" si="62"/>
        <v>0</v>
      </c>
      <c r="AW14" s="32">
        <f t="shared" si="63"/>
        <v>0</v>
      </c>
      <c r="AX14" s="4">
        <f t="shared" si="64"/>
        <v>0</v>
      </c>
      <c r="AY14" s="32">
        <f t="shared" si="65"/>
        <v>0</v>
      </c>
      <c r="AZ14" s="4">
        <f t="shared" si="66"/>
        <v>0</v>
      </c>
      <c r="BA14" s="32">
        <f t="shared" si="67"/>
        <v>0</v>
      </c>
      <c r="BB14" s="32">
        <f t="shared" si="68"/>
        <v>0</v>
      </c>
      <c r="BD14" s="32">
        <f t="shared" si="43"/>
        <v>121493081</v>
      </c>
      <c r="BE14" s="107">
        <f t="shared" si="44"/>
        <v>28254205</v>
      </c>
      <c r="BF14" s="107">
        <f t="shared" si="69"/>
        <v>93238876</v>
      </c>
      <c r="BG14" s="4">
        <f t="shared" si="70"/>
        <v>28254205</v>
      </c>
      <c r="BH14" s="32">
        <f t="shared" si="71"/>
        <v>64984671</v>
      </c>
      <c r="BI14" s="4">
        <f t="shared" si="72"/>
        <v>28254205</v>
      </c>
      <c r="BJ14" s="32">
        <f t="shared" si="73"/>
        <v>36730466</v>
      </c>
      <c r="BK14" s="4">
        <f t="shared" si="74"/>
        <v>28254205</v>
      </c>
      <c r="BL14" s="32">
        <f t="shared" si="75"/>
        <v>8476261</v>
      </c>
      <c r="BM14" s="32">
        <f t="shared" si="76"/>
        <v>8476261</v>
      </c>
      <c r="BO14" s="32">
        <v>0</v>
      </c>
      <c r="BP14" s="32">
        <v>0</v>
      </c>
      <c r="BQ14" s="32">
        <v>0</v>
      </c>
      <c r="BR14" s="4">
        <v>0</v>
      </c>
      <c r="BS14" s="32">
        <v>0</v>
      </c>
      <c r="BT14" s="39">
        <v>0</v>
      </c>
      <c r="BU14" s="107">
        <v>0</v>
      </c>
      <c r="BV14" s="4">
        <v>0</v>
      </c>
      <c r="BW14" s="32">
        <v>0</v>
      </c>
      <c r="BX14" s="4">
        <v>0</v>
      </c>
      <c r="BY14" s="32">
        <v>0</v>
      </c>
      <c r="BZ14" s="32">
        <v>0</v>
      </c>
      <c r="CB14" s="32">
        <v>166688</v>
      </c>
      <c r="CC14" s="107">
        <v>32055</v>
      </c>
      <c r="CD14" s="107">
        <v>134633</v>
      </c>
      <c r="CE14" s="4">
        <v>32055</v>
      </c>
      <c r="CF14" s="32">
        <v>102578</v>
      </c>
      <c r="CG14" s="39">
        <v>32055</v>
      </c>
      <c r="CH14" s="107">
        <v>70523</v>
      </c>
      <c r="CI14" s="4">
        <v>32055</v>
      </c>
      <c r="CJ14" s="32">
        <v>38468</v>
      </c>
      <c r="CK14" s="4">
        <v>32055</v>
      </c>
      <c r="CL14" s="32">
        <v>6413</v>
      </c>
      <c r="CM14" s="32">
        <v>6413</v>
      </c>
      <c r="CO14" s="4">
        <v>3893654</v>
      </c>
      <c r="CP14" s="4">
        <v>707937</v>
      </c>
      <c r="CQ14" s="4">
        <v>3185717</v>
      </c>
      <c r="CR14" s="39">
        <v>707937</v>
      </c>
      <c r="CS14" s="39">
        <v>2477780</v>
      </c>
      <c r="CT14" s="4">
        <v>707937</v>
      </c>
      <c r="CU14" s="4">
        <v>1769843</v>
      </c>
      <c r="CV14" s="4">
        <v>707937</v>
      </c>
      <c r="CW14" s="4">
        <v>1061906</v>
      </c>
      <c r="CX14" s="4">
        <v>707937</v>
      </c>
      <c r="CY14" s="4">
        <v>353969</v>
      </c>
      <c r="CZ14" s="4">
        <v>353969</v>
      </c>
      <c r="DB14" s="4">
        <v>0</v>
      </c>
      <c r="DC14" s="4">
        <v>0</v>
      </c>
      <c r="DD14" s="4">
        <v>0</v>
      </c>
      <c r="DE14" s="39">
        <v>0</v>
      </c>
      <c r="DF14" s="39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</row>
    <row r="15" spans="1:117" ht="15.45" x14ac:dyDescent="0.5">
      <c r="A15" s="1">
        <f>'2017 Prop share of contribs'!A197</f>
        <v>500</v>
      </c>
      <c r="B15" s="1" t="str">
        <f>'2017 Prop share of contribs'!B197</f>
        <v xml:space="preserve">KCTCS CENTRAL OFFICE  </v>
      </c>
      <c r="C15" s="18" t="s">
        <v>376</v>
      </c>
      <c r="D15" s="108">
        <f>ROUND('Employer Allocations'!G12,8)</f>
        <v>4.0469100000000001E-2</v>
      </c>
      <c r="E15" s="108">
        <f>ROUND('Employer Allocations'!H12,8)</f>
        <v>3.2253110000000002E-2</v>
      </c>
      <c r="F15" s="108">
        <f>ROUND('Employer Allocations'!I12,8)</f>
        <v>7.2722209999999995E-2</v>
      </c>
      <c r="G15" s="108">
        <v>7.0796830000000005E-2</v>
      </c>
      <c r="H15" s="108">
        <v>6.6724599999999998E-3</v>
      </c>
      <c r="I15" s="108">
        <v>7.7469289999999996E-2</v>
      </c>
      <c r="J15" s="35">
        <f t="shared" si="35"/>
        <v>51653884</v>
      </c>
      <c r="K15" s="35">
        <f t="shared" si="35"/>
        <v>41167172</v>
      </c>
      <c r="L15" s="35">
        <f t="shared" si="45"/>
        <v>92821056</v>
      </c>
      <c r="M15" s="35"/>
      <c r="N15" s="35">
        <f t="shared" si="36"/>
        <v>64029320</v>
      </c>
      <c r="O15" s="36">
        <f t="shared" si="37"/>
        <v>46004087</v>
      </c>
      <c r="P15" s="36"/>
      <c r="Q15" s="37">
        <f t="shared" si="38"/>
        <v>5922387</v>
      </c>
      <c r="R15" s="32">
        <f t="shared" si="46"/>
        <v>2626645</v>
      </c>
      <c r="S15" s="37">
        <f t="shared" si="47"/>
        <v>3295742</v>
      </c>
      <c r="T15" s="32">
        <f t="shared" si="48"/>
        <v>-6221949</v>
      </c>
      <c r="U15" s="36">
        <f t="shared" si="39"/>
        <v>297823</v>
      </c>
      <c r="V15" s="36">
        <f t="shared" si="39"/>
        <v>6395314</v>
      </c>
      <c r="W15" s="36">
        <f t="shared" si="39"/>
        <v>0</v>
      </c>
      <c r="X15" s="32">
        <f t="shared" si="49"/>
        <v>0</v>
      </c>
      <c r="Y15" s="32">
        <f t="shared" si="50"/>
        <v>6693137</v>
      </c>
      <c r="Z15" s="36">
        <f t="shared" si="40"/>
        <v>1092443</v>
      </c>
      <c r="AA15" s="36">
        <f t="shared" si="40"/>
        <v>3585896</v>
      </c>
      <c r="AB15" s="36">
        <f t="shared" si="40"/>
        <v>399657</v>
      </c>
      <c r="AC15" s="32">
        <f t="shared" si="51"/>
        <v>31086889</v>
      </c>
      <c r="AD15" s="32">
        <f t="shared" si="52"/>
        <v>36164885</v>
      </c>
      <c r="AE15" s="32">
        <f t="shared" si="53"/>
        <v>-9173362</v>
      </c>
      <c r="AF15" s="32">
        <f t="shared" si="54"/>
        <v>-8513419</v>
      </c>
      <c r="AG15" s="32">
        <f t="shared" si="55"/>
        <v>-8735544</v>
      </c>
      <c r="AH15" s="32">
        <f t="shared" si="56"/>
        <v>-3049423</v>
      </c>
      <c r="AI15" s="107">
        <f t="shared" si="57"/>
        <v>0</v>
      </c>
      <c r="AJ15" s="107">
        <f t="shared" si="58"/>
        <v>0</v>
      </c>
      <c r="AK15" s="7">
        <v>100811921</v>
      </c>
      <c r="AL15" s="32">
        <v>17944196</v>
      </c>
      <c r="AM15" s="105">
        <v>6888886</v>
      </c>
      <c r="AN15" s="32">
        <f>'Employer Allocations'!B12</f>
        <v>2409032</v>
      </c>
      <c r="AO15" s="32">
        <f t="shared" si="59"/>
        <v>51653882</v>
      </c>
      <c r="AP15" s="32">
        <f t="shared" si="41"/>
        <v>2</v>
      </c>
      <c r="AS15" s="32">
        <f t="shared" si="60"/>
        <v>0</v>
      </c>
      <c r="AT15" s="107">
        <f t="shared" si="42"/>
        <v>0</v>
      </c>
      <c r="AU15" s="107">
        <f t="shared" si="61"/>
        <v>0</v>
      </c>
      <c r="AV15" s="4">
        <f t="shared" si="62"/>
        <v>0</v>
      </c>
      <c r="AW15" s="32">
        <f t="shared" si="63"/>
        <v>0</v>
      </c>
      <c r="AX15" s="4">
        <f t="shared" si="64"/>
        <v>0</v>
      </c>
      <c r="AY15" s="32">
        <f t="shared" si="65"/>
        <v>0</v>
      </c>
      <c r="AZ15" s="4">
        <f t="shared" si="66"/>
        <v>0</v>
      </c>
      <c r="BA15" s="32">
        <f t="shared" si="67"/>
        <v>0</v>
      </c>
      <c r="BB15" s="32">
        <f t="shared" si="68"/>
        <v>0</v>
      </c>
      <c r="BD15" s="32">
        <f t="shared" si="43"/>
        <v>36834760</v>
      </c>
      <c r="BE15" s="107">
        <f t="shared" si="44"/>
        <v>8566223</v>
      </c>
      <c r="BF15" s="107">
        <f t="shared" si="69"/>
        <v>28268537</v>
      </c>
      <c r="BG15" s="4">
        <f t="shared" si="70"/>
        <v>8566223</v>
      </c>
      <c r="BH15" s="32">
        <f t="shared" si="71"/>
        <v>19702314</v>
      </c>
      <c r="BI15" s="4">
        <f t="shared" si="72"/>
        <v>8566223</v>
      </c>
      <c r="BJ15" s="32">
        <f t="shared" si="73"/>
        <v>11136091</v>
      </c>
      <c r="BK15" s="4">
        <f t="shared" si="74"/>
        <v>8566223</v>
      </c>
      <c r="BL15" s="32">
        <f t="shared" si="75"/>
        <v>2569868</v>
      </c>
      <c r="BM15" s="32">
        <f t="shared" si="76"/>
        <v>2569868</v>
      </c>
      <c r="BO15" s="32">
        <v>0</v>
      </c>
      <c r="BP15" s="32">
        <v>0</v>
      </c>
      <c r="BQ15" s="32">
        <v>0</v>
      </c>
      <c r="BR15" s="4">
        <v>0</v>
      </c>
      <c r="BS15" s="32">
        <v>0</v>
      </c>
      <c r="BT15" s="39">
        <v>0</v>
      </c>
      <c r="BU15" s="107">
        <v>0</v>
      </c>
      <c r="BV15" s="4">
        <v>0</v>
      </c>
      <c r="BW15" s="32">
        <v>0</v>
      </c>
      <c r="BX15" s="4">
        <v>0</v>
      </c>
      <c r="BY15" s="32">
        <v>0</v>
      </c>
      <c r="BZ15" s="32">
        <v>0</v>
      </c>
      <c r="CB15" s="32">
        <v>2047143</v>
      </c>
      <c r="CC15" s="32">
        <v>393681</v>
      </c>
      <c r="CD15" s="32">
        <v>1653462</v>
      </c>
      <c r="CE15" s="4">
        <v>393681</v>
      </c>
      <c r="CF15" s="32">
        <v>1259781</v>
      </c>
      <c r="CG15" s="39">
        <v>393681</v>
      </c>
      <c r="CH15" s="107">
        <v>866100</v>
      </c>
      <c r="CI15" s="4">
        <v>393681</v>
      </c>
      <c r="CJ15" s="32">
        <v>472419</v>
      </c>
      <c r="CK15" s="4">
        <v>393681</v>
      </c>
      <c r="CL15" s="32">
        <v>78738</v>
      </c>
      <c r="CM15" s="32">
        <v>78738</v>
      </c>
      <c r="CO15" s="4">
        <v>0</v>
      </c>
      <c r="CP15" s="4">
        <v>0</v>
      </c>
      <c r="CQ15" s="4">
        <v>0</v>
      </c>
      <c r="CR15" s="39">
        <v>0</v>
      </c>
      <c r="CS15" s="39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B15" s="4">
        <v>3067826</v>
      </c>
      <c r="DC15" s="4">
        <v>557787</v>
      </c>
      <c r="DD15" s="4">
        <v>2510039</v>
      </c>
      <c r="DE15" s="39">
        <v>557787</v>
      </c>
      <c r="DF15" s="39">
        <v>1952252</v>
      </c>
      <c r="DG15" s="4">
        <v>557787</v>
      </c>
      <c r="DH15" s="4">
        <v>1394465</v>
      </c>
      <c r="DI15" s="4">
        <v>557787</v>
      </c>
      <c r="DJ15" s="4">
        <v>836678</v>
      </c>
      <c r="DK15" s="4">
        <v>557787</v>
      </c>
      <c r="DL15" s="4">
        <v>278891</v>
      </c>
      <c r="DM15" s="4">
        <v>278891</v>
      </c>
    </row>
    <row r="16" spans="1:117" x14ac:dyDescent="0.35">
      <c r="A16" s="1"/>
      <c r="B16" s="1" t="s">
        <v>342</v>
      </c>
      <c r="C16" s="1"/>
      <c r="D16" s="38">
        <f t="shared" ref="D16:J16" si="77">SUM(D10:D15)</f>
        <v>0.55648888000000007</v>
      </c>
      <c r="E16" s="38">
        <f t="shared" si="77"/>
        <v>0.44351112000000004</v>
      </c>
      <c r="F16" s="31">
        <f t="shared" si="77"/>
        <v>1</v>
      </c>
      <c r="G16" s="31">
        <f t="shared" si="77"/>
        <v>0.91386965000000009</v>
      </c>
      <c r="H16" s="31">
        <f t="shared" si="77"/>
        <v>8.6130350000000008E-2</v>
      </c>
      <c r="I16" s="31">
        <f t="shared" si="77"/>
        <v>1.0000000100000002</v>
      </c>
      <c r="J16" s="7">
        <f t="shared" si="77"/>
        <v>710290374</v>
      </c>
      <c r="K16" s="7">
        <f t="shared" ref="K16:L16" si="78">SUM(K10:K15)</f>
        <v>566088003</v>
      </c>
      <c r="L16" s="7">
        <f t="shared" si="78"/>
        <v>1276378377</v>
      </c>
      <c r="M16" s="7"/>
      <c r="N16" s="7">
        <f t="shared" ref="N16" si="79">SUM(N10:N15)</f>
        <v>880464463</v>
      </c>
      <c r="O16" s="7">
        <f t="shared" ref="O16" si="80">SUM(O10:O15)</f>
        <v>632600249</v>
      </c>
      <c r="P16" s="7"/>
      <c r="Q16" s="7">
        <f t="shared" ref="Q16:S16" si="81">SUM(Q10:Q15)</f>
        <v>81438495</v>
      </c>
      <c r="R16" s="7">
        <f t="shared" si="81"/>
        <v>36118878</v>
      </c>
      <c r="S16" s="7">
        <f t="shared" si="81"/>
        <v>45319617</v>
      </c>
      <c r="T16" s="7">
        <f>SUM(T10:T15)</f>
        <v>-52277826</v>
      </c>
      <c r="U16" s="7">
        <f t="shared" ref="U16" si="82">SUM(U10:U15)</f>
        <v>4095355</v>
      </c>
      <c r="V16" s="7">
        <f t="shared" ref="V16" si="83">SUM(V10:V15)</f>
        <v>87941690</v>
      </c>
      <c r="W16" s="7">
        <f t="shared" ref="W16" si="84">SUM(W10:W15)</f>
        <v>0</v>
      </c>
      <c r="X16" s="32">
        <f>SUM(X10:X15)</f>
        <v>20886679</v>
      </c>
      <c r="Y16" s="7">
        <f t="shared" si="50"/>
        <v>112923724</v>
      </c>
      <c r="Z16" s="7">
        <f t="shared" ref="Z16" si="85">SUM(Z10:Z15)</f>
        <v>15022138</v>
      </c>
      <c r="AA16" s="7">
        <f t="shared" ref="AA16" si="86">SUM(AA10:AA15)</f>
        <v>49309503</v>
      </c>
      <c r="AB16" s="7">
        <f t="shared" ref="AB16" si="87">SUM(AB10:AB15)</f>
        <v>5495665</v>
      </c>
      <c r="AC16" s="32">
        <f>SUM(AC10:AC15)</f>
        <v>344977088</v>
      </c>
      <c r="AD16" s="7">
        <f>SUM(AD10:AD15)</f>
        <v>414804394</v>
      </c>
      <c r="AE16" s="7">
        <f t="shared" ref="AE16" si="88">SUM(AE10:AE15)</f>
        <v>-92862592</v>
      </c>
      <c r="AF16" s="7">
        <f t="shared" ref="AF16" si="89">SUM(AF10:AF15)</f>
        <v>-83787742</v>
      </c>
      <c r="AG16" s="7">
        <f t="shared" ref="AG16" si="90">SUM(AG10:AG15)</f>
        <v>-92827193</v>
      </c>
      <c r="AH16" s="7">
        <f t="shared" ref="AH16" si="91">SUM(AH10:AH15)</f>
        <v>-32403143</v>
      </c>
      <c r="AI16" s="43">
        <f t="shared" ref="AI16:AJ16" si="92">SUM(AI10:AI15)</f>
        <v>0</v>
      </c>
      <c r="AJ16" s="89">
        <f t="shared" si="92"/>
        <v>0</v>
      </c>
      <c r="AK16" s="7">
        <f t="shared" ref="AK16:AM16" si="93">SUM(AK10:AK15)</f>
        <v>1301314692</v>
      </c>
      <c r="AL16" s="7">
        <f t="shared" si="93"/>
        <v>259974079</v>
      </c>
      <c r="AM16" s="7">
        <f t="shared" si="93"/>
        <v>56234753</v>
      </c>
      <c r="AN16" s="32">
        <f>SUM(AN10:AN15)</f>
        <v>33126498</v>
      </c>
      <c r="AO16" s="32">
        <f>SUM(AO10:AO15)</f>
        <v>710290372</v>
      </c>
      <c r="AP16" s="32">
        <f>SUM(AP10:AP15)</f>
        <v>2</v>
      </c>
      <c r="AS16" s="7">
        <f t="shared" ref="AS16:BL16" si="94">SUM(AS10:AS15)</f>
        <v>0</v>
      </c>
      <c r="AT16" s="89">
        <f t="shared" si="94"/>
        <v>0</v>
      </c>
      <c r="AU16" s="89">
        <f t="shared" si="94"/>
        <v>0</v>
      </c>
      <c r="AV16" s="7">
        <f t="shared" si="94"/>
        <v>0</v>
      </c>
      <c r="AW16" s="7">
        <f t="shared" si="94"/>
        <v>0</v>
      </c>
      <c r="AX16" s="7">
        <f t="shared" si="94"/>
        <v>0</v>
      </c>
      <c r="AY16" s="7">
        <f t="shared" si="94"/>
        <v>0</v>
      </c>
      <c r="AZ16" s="7">
        <f t="shared" si="94"/>
        <v>0</v>
      </c>
      <c r="BA16" s="7">
        <f t="shared" si="94"/>
        <v>0</v>
      </c>
      <c r="BB16" s="32">
        <f t="shared" si="68"/>
        <v>0</v>
      </c>
      <c r="BC16" s="7">
        <f t="shared" si="94"/>
        <v>0</v>
      </c>
      <c r="BD16" s="7">
        <f t="shared" si="94"/>
        <v>434059349</v>
      </c>
      <c r="BE16" s="89">
        <f t="shared" si="94"/>
        <v>100944034</v>
      </c>
      <c r="BF16" s="89">
        <f t="shared" si="94"/>
        <v>333115315</v>
      </c>
      <c r="BG16" s="7">
        <f t="shared" si="94"/>
        <v>100944034</v>
      </c>
      <c r="BH16" s="7">
        <f t="shared" si="94"/>
        <v>232171281</v>
      </c>
      <c r="BI16" s="7">
        <f t="shared" si="94"/>
        <v>100944034</v>
      </c>
      <c r="BJ16" s="7">
        <f t="shared" si="94"/>
        <v>131227247</v>
      </c>
      <c r="BK16" s="7">
        <f t="shared" si="94"/>
        <v>100944034</v>
      </c>
      <c r="BL16" s="7">
        <f t="shared" si="94"/>
        <v>30283213</v>
      </c>
      <c r="BM16" s="32">
        <f t="shared" si="76"/>
        <v>30283213</v>
      </c>
      <c r="BO16" s="32">
        <v>20859716</v>
      </c>
      <c r="BP16" s="32">
        <v>4011483</v>
      </c>
      <c r="BQ16" s="32">
        <v>16848233</v>
      </c>
      <c r="BR16" s="32">
        <v>4011483</v>
      </c>
      <c r="BS16" s="32">
        <v>12836750</v>
      </c>
      <c r="BT16" s="107">
        <v>4011483</v>
      </c>
      <c r="BU16" s="107">
        <v>8825267</v>
      </c>
      <c r="BV16" s="32">
        <v>4011483</v>
      </c>
      <c r="BW16" s="32">
        <v>4813784</v>
      </c>
      <c r="BX16" s="32">
        <v>4011483</v>
      </c>
      <c r="BY16" s="32">
        <v>802301</v>
      </c>
      <c r="BZ16" s="32">
        <v>802301</v>
      </c>
      <c r="CA16" s="32">
        <v>0</v>
      </c>
      <c r="CB16" s="32">
        <v>10107049</v>
      </c>
      <c r="CC16" s="32">
        <v>1943663</v>
      </c>
      <c r="CD16" s="32">
        <v>8163386</v>
      </c>
      <c r="CE16" s="32">
        <v>1943663</v>
      </c>
      <c r="CF16" s="32">
        <v>6219723</v>
      </c>
      <c r="CG16" s="107">
        <v>1943663</v>
      </c>
      <c r="CH16" s="107">
        <v>4276060</v>
      </c>
      <c r="CI16" s="32">
        <v>1943663</v>
      </c>
      <c r="CJ16" s="32">
        <v>2332397</v>
      </c>
      <c r="CK16" s="32">
        <v>1943663</v>
      </c>
      <c r="CL16" s="32">
        <v>388734</v>
      </c>
      <c r="CM16" s="32">
        <v>388734</v>
      </c>
      <c r="CO16" s="4">
        <v>18953648</v>
      </c>
      <c r="CP16" s="4">
        <v>3446118</v>
      </c>
      <c r="CQ16" s="4">
        <v>15507530</v>
      </c>
      <c r="CR16" s="39">
        <v>3446118</v>
      </c>
      <c r="CS16" s="39">
        <v>12061412</v>
      </c>
      <c r="CT16" s="4">
        <v>3446118</v>
      </c>
      <c r="CU16" s="4">
        <v>8615294</v>
      </c>
      <c r="CV16" s="4">
        <v>3446118</v>
      </c>
      <c r="CW16" s="4">
        <v>5169176</v>
      </c>
      <c r="CX16" s="4">
        <v>3446118</v>
      </c>
      <c r="CY16" s="4">
        <v>1723058</v>
      </c>
      <c r="CZ16" s="4">
        <v>1723058</v>
      </c>
      <c r="DA16" s="4">
        <v>0</v>
      </c>
      <c r="DB16" s="4">
        <v>11920409</v>
      </c>
      <c r="DC16" s="4">
        <v>2167348</v>
      </c>
      <c r="DD16" s="4">
        <v>9753061</v>
      </c>
      <c r="DE16" s="39">
        <v>2167348</v>
      </c>
      <c r="DF16" s="39">
        <v>7585713</v>
      </c>
      <c r="DG16" s="4">
        <v>2167348</v>
      </c>
      <c r="DH16" s="4">
        <v>5418365</v>
      </c>
      <c r="DI16" s="4">
        <v>2167348</v>
      </c>
      <c r="DJ16" s="4">
        <v>3251017</v>
      </c>
      <c r="DK16" s="4">
        <v>2167348</v>
      </c>
      <c r="DL16" s="4">
        <v>1083669</v>
      </c>
      <c r="DM16" s="4">
        <v>1083669</v>
      </c>
    </row>
    <row r="17" spans="1:117" x14ac:dyDescent="0.35">
      <c r="A17" s="1"/>
      <c r="B17" s="1"/>
      <c r="C17" s="1"/>
      <c r="D17" s="31"/>
      <c r="E17" s="31"/>
      <c r="F17" s="31"/>
      <c r="G17" s="31"/>
      <c r="H17" s="31"/>
      <c r="I17" s="31"/>
      <c r="J17" s="7"/>
      <c r="K17" s="7"/>
      <c r="L17" s="7"/>
      <c r="M17" s="7"/>
      <c r="N17" s="7"/>
      <c r="O17" s="32"/>
      <c r="P17" s="32"/>
      <c r="Q17" s="32"/>
      <c r="R17" s="32"/>
      <c r="S17" s="32"/>
      <c r="T17" s="32"/>
      <c r="U17" s="32"/>
      <c r="V17" s="32"/>
      <c r="W17" s="32"/>
      <c r="Z17" s="32"/>
      <c r="AA17" s="32"/>
      <c r="AB17" s="32"/>
      <c r="AD17" s="32"/>
      <c r="AE17" s="32"/>
      <c r="AF17" s="32"/>
      <c r="AG17" s="32"/>
      <c r="AH17" s="32"/>
      <c r="AI17" s="105"/>
      <c r="AJ17" s="107"/>
      <c r="AK17" s="32"/>
      <c r="AS17" s="32"/>
      <c r="BB17" s="32" t="s">
        <v>303</v>
      </c>
      <c r="BD17" s="32"/>
      <c r="BM17" s="32">
        <f t="shared" si="76"/>
        <v>0</v>
      </c>
      <c r="BO17" s="32"/>
      <c r="CB17" s="32"/>
    </row>
    <row r="18" spans="1:117" x14ac:dyDescent="0.35">
      <c r="A18" s="1"/>
      <c r="B18" s="42" t="s">
        <v>27</v>
      </c>
      <c r="C18" s="42"/>
      <c r="D18" s="31">
        <v>0</v>
      </c>
      <c r="E18" s="38">
        <f>ROUND('Employer Allocations'!H13,8)+0.00000001</f>
        <v>0.44351111999999998</v>
      </c>
      <c r="F18" s="31">
        <f>E18</f>
        <v>0.44351111999999998</v>
      </c>
      <c r="G18" s="31">
        <v>0</v>
      </c>
      <c r="H18" s="31">
        <v>8.6130349999999994E-2</v>
      </c>
      <c r="I18" s="31">
        <v>8.6130349999999994E-2</v>
      </c>
      <c r="J18" s="7">
        <v>0</v>
      </c>
      <c r="K18" s="7">
        <f>ROUND($J$2*E18,0)</f>
        <v>566088004</v>
      </c>
      <c r="L18" s="7">
        <f t="shared" si="45"/>
        <v>566088004</v>
      </c>
      <c r="M18" s="7"/>
      <c r="N18" s="7">
        <f>ROUND($N$2*E18,0)</f>
        <v>701713537</v>
      </c>
      <c r="O18" s="32">
        <f>ROUND($O$2*E18,0)+1</f>
        <v>504170445</v>
      </c>
      <c r="P18" s="32"/>
      <c r="Q18" s="32">
        <v>0</v>
      </c>
      <c r="R18" s="32">
        <f>ROUND(Q$2*$E18,0)</f>
        <v>36118878</v>
      </c>
      <c r="S18" s="32">
        <f>R18</f>
        <v>36118878</v>
      </c>
      <c r="T18" s="32">
        <f t="shared" ref="T18" si="95">S18+AT18-BE18+BT18-CG18+CR18-DE18</f>
        <v>133716321</v>
      </c>
      <c r="U18" s="32">
        <f>ROUND(U$2*$E18,0)</f>
        <v>3263921</v>
      </c>
      <c r="V18" s="32">
        <f>ROUND(V$2*$E18,0)</f>
        <v>70087864</v>
      </c>
      <c r="W18" s="32">
        <f>ROUND(W$2*$E18,0)</f>
        <v>0</v>
      </c>
      <c r="X18" s="32">
        <f>AU18+BU18+CS18</f>
        <v>333115314</v>
      </c>
      <c r="Y18" s="32">
        <f t="shared" si="50"/>
        <v>406467099</v>
      </c>
      <c r="Z18" s="32">
        <f t="shared" ref="Z18:AB18" si="96">ROUND(Z$2*$E18,0)</f>
        <v>11972360</v>
      </c>
      <c r="AA18" s="32">
        <f t="shared" si="96"/>
        <v>39298742</v>
      </c>
      <c r="AB18" s="32">
        <f t="shared" si="96"/>
        <v>4379941</v>
      </c>
      <c r="AC18" s="32">
        <f>BF18+CH18+DF18</f>
        <v>9024908</v>
      </c>
      <c r="AD18" s="32">
        <f t="shared" ref="AD18" si="97">SUM(Z18:AC18)</f>
        <v>64675951</v>
      </c>
      <c r="AE18" s="32">
        <f>ROUND(AE$2*$E18,0)+AV18-BG18+BV18-CI18+CT18-DG18</f>
        <v>101371030</v>
      </c>
      <c r="AF18" s="32">
        <f>ROUND(AF$2*$E18,0)+AX18-BI18+BX18-CK18+CV18-DI18</f>
        <v>108603514</v>
      </c>
      <c r="AG18" s="32">
        <f>ROUND(AG$2*$E18,0)+AZ18-BK18+BZ18-CM18+CX18-DK18</f>
        <v>104371903</v>
      </c>
      <c r="AH18" s="32">
        <f>ROUND(AH$2*$E18,0)+BB18-BM18+CZ18-DM18-1</f>
        <v>27444701</v>
      </c>
      <c r="AI18" s="107">
        <f t="shared" ref="AI18" si="98">Y18-AD18-AE18-AF18-AG18-AH18</f>
        <v>0</v>
      </c>
      <c r="AJ18" s="107">
        <f t="shared" ref="AJ18" si="99">Y18-AD18-AE18-AF18-AG18-AH18-AI18</f>
        <v>0</v>
      </c>
      <c r="AK18" s="7">
        <v>122646254</v>
      </c>
      <c r="AL18" s="32">
        <v>21830636</v>
      </c>
      <c r="AM18" s="105">
        <v>16166107</v>
      </c>
      <c r="AN18" s="32">
        <f>'Employer Allocations'!D13</f>
        <v>26401192</v>
      </c>
      <c r="AO18" s="32">
        <f t="shared" ref="AO18" si="100">AK18+T18+Y18-AD18-AN18-AL18+AM18</f>
        <v>566088002</v>
      </c>
      <c r="AP18" s="32">
        <f>K18-AO18</f>
        <v>2</v>
      </c>
      <c r="AS18" s="32">
        <f>ROUND((IF(F18&gt;H18,F18-H18,0))*(AK$2-AL$2+AM$2),0)</f>
        <v>434059348</v>
      </c>
      <c r="AT18" s="107">
        <f>ROUND(AS18/$K$2,0)</f>
        <v>100944034</v>
      </c>
      <c r="AU18" s="107">
        <f t="shared" ref="AU18" si="101">AS18-AT18</f>
        <v>333115314</v>
      </c>
      <c r="AV18" s="4">
        <f t="shared" ref="AV18" si="102">AT18</f>
        <v>100944034</v>
      </c>
      <c r="AW18" s="32">
        <f t="shared" ref="AW18" si="103">AU18-AV18</f>
        <v>232171280</v>
      </c>
      <c r="AX18" s="4">
        <f t="shared" ref="AX18" si="104">AV18</f>
        <v>100944034</v>
      </c>
      <c r="AY18" s="32">
        <f t="shared" ref="AY18" si="105">AW18-AX18</f>
        <v>131227246</v>
      </c>
      <c r="AZ18" s="4">
        <f t="shared" ref="AZ18" si="106">AX18</f>
        <v>100944034</v>
      </c>
      <c r="BA18" s="32">
        <f t="shared" ref="BA18" si="107">AY18-AZ18</f>
        <v>30283212</v>
      </c>
      <c r="BB18" s="32">
        <f t="shared" si="68"/>
        <v>30283212</v>
      </c>
      <c r="BD18" s="32">
        <f>ROUND((IF(F18&lt;H18,H18-F18,0))*(AK$2-AL$2+AM$2),0)</f>
        <v>0</v>
      </c>
      <c r="BE18" s="107">
        <f>ROUND(BD18/$K$2,0)</f>
        <v>0</v>
      </c>
      <c r="BF18" s="107">
        <f t="shared" ref="BF18" si="108">BD18-BE18</f>
        <v>0</v>
      </c>
      <c r="BG18" s="4">
        <f t="shared" ref="BG18" si="109">BE18</f>
        <v>0</v>
      </c>
      <c r="BH18" s="32">
        <f t="shared" ref="BH18" si="110">BF18-BG18</f>
        <v>0</v>
      </c>
      <c r="BI18" s="4">
        <f t="shared" ref="BI18" si="111">BG18</f>
        <v>0</v>
      </c>
      <c r="BJ18" s="32">
        <f t="shared" ref="BJ18" si="112">BH18-BI18</f>
        <v>0</v>
      </c>
      <c r="BK18" s="4">
        <f t="shared" ref="BK18" si="113">BI18</f>
        <v>0</v>
      </c>
      <c r="BL18" s="32">
        <f t="shared" ref="BL18" si="114">BJ18-BK18</f>
        <v>0</v>
      </c>
      <c r="BM18" s="32">
        <f t="shared" si="76"/>
        <v>0</v>
      </c>
      <c r="BO18" s="32">
        <v>0</v>
      </c>
      <c r="BP18" s="107">
        <v>0</v>
      </c>
      <c r="BQ18" s="32">
        <v>0</v>
      </c>
      <c r="BR18" s="4">
        <v>0</v>
      </c>
      <c r="BS18" s="32">
        <v>0</v>
      </c>
      <c r="BT18" s="39">
        <v>0</v>
      </c>
      <c r="BU18" s="107">
        <v>0</v>
      </c>
      <c r="BV18" s="4">
        <v>0</v>
      </c>
      <c r="BW18" s="32">
        <v>0</v>
      </c>
      <c r="BX18" s="4">
        <v>0</v>
      </c>
      <c r="BY18" s="32">
        <v>0</v>
      </c>
      <c r="BZ18" s="32">
        <v>0</v>
      </c>
      <c r="CB18" s="32">
        <v>10752645</v>
      </c>
      <c r="CC18" s="105">
        <v>2067816</v>
      </c>
      <c r="CD18" s="32">
        <v>8684829</v>
      </c>
      <c r="CE18" s="44">
        <v>2067816</v>
      </c>
      <c r="CF18" s="32">
        <v>6617013</v>
      </c>
      <c r="CG18" s="39">
        <v>2067816</v>
      </c>
      <c r="CH18" s="107">
        <v>4549197</v>
      </c>
      <c r="CI18" s="4">
        <v>2067816</v>
      </c>
      <c r="CJ18" s="32">
        <v>2481381</v>
      </c>
      <c r="CK18" s="4">
        <v>2067816</v>
      </c>
      <c r="CL18" s="32">
        <v>413565</v>
      </c>
      <c r="CM18" s="32">
        <v>413565</v>
      </c>
      <c r="CO18" s="4">
        <v>0</v>
      </c>
      <c r="CP18" s="4">
        <v>0</v>
      </c>
      <c r="CQ18" s="4">
        <v>0</v>
      </c>
      <c r="CR18" s="39">
        <v>0</v>
      </c>
      <c r="CS18" s="39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B18" s="4">
        <v>7033261</v>
      </c>
      <c r="DC18" s="4">
        <v>1278775</v>
      </c>
      <c r="DD18" s="4">
        <v>5754486</v>
      </c>
      <c r="DE18" s="39">
        <v>1278775</v>
      </c>
      <c r="DF18" s="39">
        <v>4475711</v>
      </c>
      <c r="DG18" s="4">
        <v>1278775</v>
      </c>
      <c r="DH18" s="4">
        <v>3196936</v>
      </c>
      <c r="DI18" s="4">
        <v>1278775</v>
      </c>
      <c r="DJ18" s="4">
        <v>1918161</v>
      </c>
      <c r="DK18" s="4">
        <v>1278775</v>
      </c>
      <c r="DL18" s="4">
        <v>639386</v>
      </c>
      <c r="DM18" s="4">
        <v>639386</v>
      </c>
    </row>
    <row r="19" spans="1:117" x14ac:dyDescent="0.35">
      <c r="A19" s="1"/>
      <c r="B19" s="1" t="s">
        <v>64</v>
      </c>
      <c r="C19" s="1"/>
      <c r="J19" s="7" t="s">
        <v>303</v>
      </c>
      <c r="K19" s="7" t="s">
        <v>303</v>
      </c>
      <c r="L19" s="7" t="s">
        <v>303</v>
      </c>
      <c r="M19" s="7"/>
      <c r="N19" s="7">
        <f>N16+N18</f>
        <v>1582178000</v>
      </c>
      <c r="O19" s="7">
        <f t="shared" ref="O19:Q19" si="115">O16+O18</f>
        <v>1136770694</v>
      </c>
      <c r="P19" s="7"/>
      <c r="Q19" s="7">
        <f t="shared" si="115"/>
        <v>81438495</v>
      </c>
      <c r="R19" s="7" t="s">
        <v>303</v>
      </c>
      <c r="S19" s="7">
        <f t="shared" ref="S19" si="116">S16+S18</f>
        <v>81438495</v>
      </c>
      <c r="T19" s="7">
        <f>T18+T16</f>
        <v>81438495</v>
      </c>
      <c r="U19" s="7">
        <f t="shared" ref="U19" si="117">U16+U18</f>
        <v>7359276</v>
      </c>
      <c r="V19" s="7">
        <f t="shared" ref="V19" si="118">V16+V18</f>
        <v>158029554</v>
      </c>
      <c r="W19" s="7">
        <f t="shared" ref="W19" si="119">W16+W18</f>
        <v>0</v>
      </c>
      <c r="X19" s="32">
        <f>X18+X16</f>
        <v>354001993</v>
      </c>
      <c r="Y19" s="7"/>
      <c r="Z19" s="7">
        <f t="shared" ref="Z19" si="120">Z16+Z18</f>
        <v>26994498</v>
      </c>
      <c r="AA19" s="7">
        <f t="shared" ref="AA19" si="121">AA16+AA18</f>
        <v>88608245</v>
      </c>
      <c r="AB19" s="7">
        <f t="shared" ref="AB19" si="122">AB16+AB18</f>
        <v>9875606</v>
      </c>
      <c r="AC19" s="32">
        <f>AC16+AC18</f>
        <v>354001996</v>
      </c>
      <c r="AD19" s="7"/>
      <c r="AE19" s="7">
        <f t="shared" ref="AE19:AJ19" si="123">AE16+AE18</f>
        <v>8508438</v>
      </c>
      <c r="AF19" s="7">
        <f t="shared" si="123"/>
        <v>24815772</v>
      </c>
      <c r="AG19" s="7">
        <f t="shared" si="123"/>
        <v>11544710</v>
      </c>
      <c r="AH19" s="7">
        <f t="shared" si="123"/>
        <v>-4958442</v>
      </c>
      <c r="AI19" s="7">
        <f t="shared" si="123"/>
        <v>0</v>
      </c>
      <c r="AJ19" s="89">
        <f t="shared" si="123"/>
        <v>0</v>
      </c>
      <c r="AK19" s="7">
        <f t="shared" ref="AK19:AM19" si="124">AK16+AK18</f>
        <v>1423960946</v>
      </c>
      <c r="AL19" s="7">
        <f t="shared" si="124"/>
        <v>281804715</v>
      </c>
      <c r="AM19" s="7">
        <f t="shared" si="124"/>
        <v>72400860</v>
      </c>
      <c r="AN19" s="32">
        <f>AN16+AN18</f>
        <v>59527690</v>
      </c>
      <c r="AO19" s="32">
        <f>AO16+AO18</f>
        <v>1276378374</v>
      </c>
      <c r="AP19" s="32">
        <f>AP16+AP18</f>
        <v>4</v>
      </c>
      <c r="AS19" s="7">
        <f t="shared" ref="AS19:BB19" si="125">AS16+AS18</f>
        <v>434059348</v>
      </c>
      <c r="AT19" s="89">
        <f t="shared" si="125"/>
        <v>100944034</v>
      </c>
      <c r="AU19" s="89">
        <f t="shared" si="125"/>
        <v>333115314</v>
      </c>
      <c r="AV19" s="7">
        <f t="shared" si="125"/>
        <v>100944034</v>
      </c>
      <c r="AW19" s="7">
        <f t="shared" si="125"/>
        <v>232171280</v>
      </c>
      <c r="AX19" s="7">
        <f t="shared" si="125"/>
        <v>100944034</v>
      </c>
      <c r="AY19" s="7">
        <f t="shared" si="125"/>
        <v>131227246</v>
      </c>
      <c r="AZ19" s="7">
        <f t="shared" si="125"/>
        <v>100944034</v>
      </c>
      <c r="BA19" s="7">
        <f t="shared" si="125"/>
        <v>30283212</v>
      </c>
      <c r="BB19" s="7">
        <f t="shared" si="125"/>
        <v>30283212</v>
      </c>
      <c r="BD19" s="7">
        <f t="shared" ref="BD19:BM19" si="126">BD16+BD18</f>
        <v>434059349</v>
      </c>
      <c r="BE19" s="89">
        <f t="shared" si="126"/>
        <v>100944034</v>
      </c>
      <c r="BF19" s="89">
        <f t="shared" si="126"/>
        <v>333115315</v>
      </c>
      <c r="BG19" s="7">
        <f t="shared" si="126"/>
        <v>100944034</v>
      </c>
      <c r="BH19" s="7">
        <f t="shared" si="126"/>
        <v>232171281</v>
      </c>
      <c r="BI19" s="7">
        <f t="shared" si="126"/>
        <v>100944034</v>
      </c>
      <c r="BJ19" s="7">
        <f t="shared" si="126"/>
        <v>131227247</v>
      </c>
      <c r="BK19" s="7">
        <f t="shared" si="126"/>
        <v>100944034</v>
      </c>
      <c r="BL19" s="7">
        <f t="shared" si="126"/>
        <v>30283213</v>
      </c>
      <c r="BM19" s="7">
        <f t="shared" si="126"/>
        <v>30283213</v>
      </c>
      <c r="BO19" s="32">
        <v>20859716</v>
      </c>
      <c r="BP19" s="32">
        <v>4011483</v>
      </c>
      <c r="BQ19" s="32">
        <v>16848233</v>
      </c>
      <c r="BR19" s="32">
        <v>4011483</v>
      </c>
      <c r="BS19" s="32">
        <v>12836750</v>
      </c>
      <c r="BT19" s="107">
        <v>4011483</v>
      </c>
      <c r="BU19" s="107">
        <v>8825267</v>
      </c>
      <c r="BV19" s="32">
        <v>4011483</v>
      </c>
      <c r="BW19" s="32">
        <v>4813784</v>
      </c>
      <c r="BX19" s="32">
        <v>4011483</v>
      </c>
      <c r="BY19" s="32">
        <v>802301</v>
      </c>
      <c r="BZ19" s="32">
        <v>802301</v>
      </c>
      <c r="CB19" s="32">
        <v>20859694</v>
      </c>
      <c r="CC19" s="32">
        <v>4011479</v>
      </c>
      <c r="CD19" s="32">
        <v>16848215</v>
      </c>
      <c r="CE19" s="32">
        <v>4011479</v>
      </c>
      <c r="CF19" s="32">
        <v>12836736</v>
      </c>
      <c r="CG19" s="107">
        <v>4011479</v>
      </c>
      <c r="CH19" s="107">
        <v>8825257</v>
      </c>
      <c r="CI19" s="32">
        <v>4011479</v>
      </c>
      <c r="CJ19" s="32">
        <v>4813778</v>
      </c>
      <c r="CK19" s="32">
        <v>4011479</v>
      </c>
      <c r="CL19" s="32">
        <v>802299</v>
      </c>
      <c r="CM19" s="32">
        <v>802299</v>
      </c>
      <c r="CO19" s="4">
        <v>18953648</v>
      </c>
      <c r="CP19" s="4">
        <v>3446118</v>
      </c>
      <c r="CQ19" s="4">
        <v>15507530</v>
      </c>
      <c r="CR19" s="39">
        <v>3446118</v>
      </c>
      <c r="CS19" s="39">
        <v>12061412</v>
      </c>
      <c r="CT19" s="4">
        <v>3446118</v>
      </c>
      <c r="CU19" s="4">
        <v>8615294</v>
      </c>
      <c r="CV19" s="4">
        <v>3446118</v>
      </c>
      <c r="CW19" s="4">
        <v>5169176</v>
      </c>
      <c r="CX19" s="4">
        <v>3446118</v>
      </c>
      <c r="CY19" s="4">
        <v>1723058</v>
      </c>
      <c r="CZ19" s="4">
        <v>1723058</v>
      </c>
      <c r="DB19" s="4">
        <v>18953670</v>
      </c>
      <c r="DC19" s="4">
        <v>3446123</v>
      </c>
      <c r="DD19" s="4">
        <v>15507547</v>
      </c>
      <c r="DE19" s="39">
        <v>3446123</v>
      </c>
      <c r="DF19" s="39">
        <v>12061424</v>
      </c>
      <c r="DG19" s="4">
        <v>3446123</v>
      </c>
      <c r="DH19" s="4">
        <v>8615301</v>
      </c>
      <c r="DI19" s="4">
        <v>3446123</v>
      </c>
      <c r="DJ19" s="4">
        <v>5169178</v>
      </c>
      <c r="DK19" s="4">
        <v>3446123</v>
      </c>
      <c r="DL19" s="4">
        <v>1723055</v>
      </c>
      <c r="DM19" s="4">
        <v>1723055</v>
      </c>
    </row>
    <row r="20" spans="1:117" x14ac:dyDescent="0.35">
      <c r="A20" s="34"/>
      <c r="B20" s="34"/>
      <c r="C20" s="34"/>
      <c r="D20" s="31"/>
      <c r="E20" s="31"/>
      <c r="F20" s="31"/>
      <c r="G20" s="31"/>
      <c r="H20" s="31"/>
      <c r="I20" s="31"/>
      <c r="J20" s="7"/>
      <c r="K20" s="7"/>
      <c r="L20" s="7" t="s">
        <v>303</v>
      </c>
      <c r="M20" s="7"/>
      <c r="N20" s="9" t="s">
        <v>303</v>
      </c>
      <c r="O20" s="9" t="s">
        <v>303</v>
      </c>
      <c r="P20" s="9"/>
      <c r="Q20" s="9" t="s">
        <v>303</v>
      </c>
      <c r="R20" s="9"/>
      <c r="S20" s="9"/>
      <c r="T20" s="9"/>
      <c r="V20" s="9" t="s">
        <v>303</v>
      </c>
      <c r="W20" s="9" t="s">
        <v>303</v>
      </c>
      <c r="Z20" s="9" t="s">
        <v>303</v>
      </c>
      <c r="AA20" s="9" t="s">
        <v>303</v>
      </c>
      <c r="AB20" s="9" t="s">
        <v>303</v>
      </c>
      <c r="AD20" s="9"/>
      <c r="AE20" s="9" t="s">
        <v>303</v>
      </c>
      <c r="AF20" s="9" t="s">
        <v>303</v>
      </c>
      <c r="AG20" s="9" t="s">
        <v>303</v>
      </c>
      <c r="AH20" s="9" t="s">
        <v>303</v>
      </c>
      <c r="AI20" s="106" t="s">
        <v>303</v>
      </c>
      <c r="AJ20" s="106"/>
      <c r="AK20" s="9" t="s">
        <v>303</v>
      </c>
      <c r="AS20" s="9" t="s">
        <v>303</v>
      </c>
      <c r="BD20" s="9" t="s">
        <v>303</v>
      </c>
      <c r="BO20" s="9" t="s">
        <v>303</v>
      </c>
      <c r="CB20" s="9" t="s">
        <v>303</v>
      </c>
      <c r="CO20" s="4" t="s">
        <v>303</v>
      </c>
      <c r="DB20" s="4" t="s">
        <v>303</v>
      </c>
    </row>
    <row r="21" spans="1:117" x14ac:dyDescent="0.35">
      <c r="B21" s="4" t="s">
        <v>338</v>
      </c>
      <c r="D21" s="31"/>
      <c r="E21" s="31"/>
      <c r="F21" s="31"/>
      <c r="G21" s="31"/>
      <c r="H21" s="31"/>
      <c r="I21" s="31"/>
      <c r="J21" s="9" t="s">
        <v>303</v>
      </c>
      <c r="K21" s="9"/>
      <c r="L21" s="9" t="s">
        <v>303</v>
      </c>
      <c r="M21" s="9"/>
      <c r="N21" s="9">
        <f>N2-N19</f>
        <v>0</v>
      </c>
      <c r="O21" s="9">
        <f>O2-O19</f>
        <v>0</v>
      </c>
      <c r="P21" s="9"/>
      <c r="Q21" s="9">
        <f>Q2-Q19</f>
        <v>0</v>
      </c>
      <c r="R21" s="9"/>
      <c r="S21" s="9">
        <f>Q2-S19</f>
        <v>0</v>
      </c>
      <c r="T21" s="9">
        <f>Q2-T19</f>
        <v>0</v>
      </c>
      <c r="U21" s="9">
        <f>U2-U19</f>
        <v>0</v>
      </c>
      <c r="V21" s="9">
        <f>V2-V19</f>
        <v>0</v>
      </c>
      <c r="W21" s="9">
        <f>W2-W19</f>
        <v>0</v>
      </c>
      <c r="Z21" s="9">
        <f t="shared" ref="Z21:AK21" si="127">Z2-Z19</f>
        <v>0</v>
      </c>
      <c r="AA21" s="9">
        <f t="shared" si="127"/>
        <v>0</v>
      </c>
      <c r="AB21" s="9">
        <f t="shared" si="127"/>
        <v>0</v>
      </c>
      <c r="AD21" s="9"/>
      <c r="AE21" s="32">
        <f>AE2-AE19</f>
        <v>1</v>
      </c>
      <c r="AF21" s="32">
        <f t="shared" si="127"/>
        <v>0</v>
      </c>
      <c r="AG21" s="32">
        <f t="shared" si="127"/>
        <v>4</v>
      </c>
      <c r="AH21" s="32">
        <f t="shared" si="127"/>
        <v>0</v>
      </c>
      <c r="AI21" s="105">
        <f>AI2-AI19</f>
        <v>0</v>
      </c>
      <c r="AJ21" s="106"/>
      <c r="AK21" s="9">
        <f t="shared" si="127"/>
        <v>0</v>
      </c>
      <c r="AS21" s="9" t="s">
        <v>303</v>
      </c>
      <c r="BD21" s="9">
        <f>BD19-AS19</f>
        <v>1</v>
      </c>
      <c r="BE21" s="180">
        <f t="shared" ref="BE21:BM21" si="128">BE19-AT19</f>
        <v>0</v>
      </c>
      <c r="BF21" s="180">
        <f t="shared" si="128"/>
        <v>1</v>
      </c>
      <c r="BG21" s="9">
        <f t="shared" si="128"/>
        <v>0</v>
      </c>
      <c r="BH21" s="9">
        <f t="shared" si="128"/>
        <v>1</v>
      </c>
      <c r="BI21" s="9">
        <f t="shared" si="128"/>
        <v>0</v>
      </c>
      <c r="BJ21" s="9">
        <f t="shared" si="128"/>
        <v>1</v>
      </c>
      <c r="BK21" s="9">
        <f t="shared" si="128"/>
        <v>0</v>
      </c>
      <c r="BL21" s="9">
        <f t="shared" si="128"/>
        <v>1</v>
      </c>
      <c r="BM21" s="9">
        <f t="shared" si="128"/>
        <v>1</v>
      </c>
      <c r="BO21" s="9" t="s">
        <v>303</v>
      </c>
      <c r="CB21" s="9" t="s">
        <v>303</v>
      </c>
      <c r="CC21" s="39" t="s">
        <v>679</v>
      </c>
      <c r="CD21" s="39"/>
      <c r="CO21" s="4" t="s">
        <v>303</v>
      </c>
      <c r="DB21" s="4">
        <v>22</v>
      </c>
    </row>
    <row r="22" spans="1:117" x14ac:dyDescent="0.35">
      <c r="AE22" s="32"/>
      <c r="AF22" s="32"/>
      <c r="AG22" s="32"/>
      <c r="AH22" s="32"/>
      <c r="AI22" s="32"/>
    </row>
    <row r="23" spans="1:117" ht="12" customHeight="1" x14ac:dyDescent="0.35"/>
    <row r="25" spans="1:117" x14ac:dyDescent="0.35">
      <c r="K25" s="32"/>
      <c r="L25" s="107" t="s">
        <v>303</v>
      </c>
    </row>
  </sheetData>
  <mergeCells count="11">
    <mergeCell ref="AE3:AI3"/>
    <mergeCell ref="N1:O1"/>
    <mergeCell ref="A9:B9"/>
    <mergeCell ref="J4:O4"/>
    <mergeCell ref="U3:X3"/>
    <mergeCell ref="Z3:AC3"/>
    <mergeCell ref="CB7:CM7"/>
    <mergeCell ref="BO7:BZ7"/>
    <mergeCell ref="AS7:BB7"/>
    <mergeCell ref="BD7:BM7"/>
    <mergeCell ref="AE4:AI4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Q218"/>
  <sheetViews>
    <sheetView zoomScaleNormal="100" workbookViewId="0">
      <pane xSplit="2" ySplit="8" topLeftCell="D195" activePane="bottomRight" state="frozen"/>
      <selection pane="topRight" activeCell="C1" sqref="C1"/>
      <selection pane="bottomLeft" activeCell="A9" sqref="A9"/>
      <selection pane="bottomRight" activeCell="N213" sqref="N213"/>
    </sheetView>
  </sheetViews>
  <sheetFormatPr defaultColWidth="9.15234375" defaultRowHeight="14.15" x14ac:dyDescent="0.35"/>
  <cols>
    <col min="1" max="1" width="8" style="4" bestFit="1" customWidth="1"/>
    <col min="2" max="2" width="47.15234375" style="4" bestFit="1" customWidth="1"/>
    <col min="3" max="3" width="25.15234375" style="4" customWidth="1"/>
    <col min="4" max="4" width="13.69140625" style="4" bestFit="1" customWidth="1"/>
    <col min="5" max="7" width="12.3828125" style="4" customWidth="1"/>
    <col min="8" max="8" width="12.23046875" style="4" bestFit="1" customWidth="1"/>
    <col min="9" max="9" width="12.3828125" style="4" customWidth="1"/>
    <col min="10" max="10" width="16.3828125" style="4" bestFit="1" customWidth="1"/>
    <col min="11" max="12" width="16.3828125" style="4" customWidth="1"/>
    <col min="13" max="13" width="2.15234375" style="4" customWidth="1"/>
    <col min="14" max="15" width="17.61328125" style="4" bestFit="1" customWidth="1"/>
    <col min="16" max="16" width="3" style="4" customWidth="1"/>
    <col min="17" max="17" width="13.84375" style="4" bestFit="1" customWidth="1"/>
    <col min="18" max="20" width="13.84375" style="4" customWidth="1"/>
    <col min="21" max="21" width="12.23046875" style="4" bestFit="1" customWidth="1"/>
    <col min="22" max="22" width="14.61328125" style="4" customWidth="1"/>
    <col min="23" max="23" width="12.23046875" style="4" bestFit="1" customWidth="1"/>
    <col min="24" max="24" width="12" style="4" bestFit="1" customWidth="1"/>
    <col min="25" max="25" width="13.84375" style="4" bestFit="1" customWidth="1"/>
    <col min="26" max="27" width="15" style="4" bestFit="1" customWidth="1"/>
    <col min="28" max="28" width="13.84375" style="4" customWidth="1"/>
    <col min="29" max="29" width="12.84375" style="4" customWidth="1"/>
    <col min="30" max="30" width="13.84375" style="4" bestFit="1" customWidth="1"/>
    <col min="31" max="32" width="13.15234375" style="4" bestFit="1" customWidth="1"/>
    <col min="33" max="34" width="13.84375" style="4" bestFit="1" customWidth="1"/>
    <col min="35" max="35" width="14.61328125" style="4" bestFit="1" customWidth="1"/>
    <col min="36" max="36" width="13.15234375" style="4" customWidth="1"/>
    <col min="37" max="37" width="18.69140625" style="4" bestFit="1" customWidth="1"/>
    <col min="38" max="38" width="13.84375" style="4" bestFit="1" customWidth="1"/>
    <col min="39" max="39" width="13.84375" style="4" customWidth="1"/>
    <col min="40" max="40" width="15" style="4" bestFit="1" customWidth="1"/>
    <col min="41" max="41" width="14.84375" style="4" bestFit="1" customWidth="1"/>
    <col min="42" max="42" width="15.61328125" style="4" bestFit="1" customWidth="1"/>
    <col min="43" max="44" width="9.15234375" style="4"/>
    <col min="45" max="45" width="14.15234375" style="4" bestFit="1" customWidth="1"/>
    <col min="46" max="46" width="11.23046875" style="4" bestFit="1" customWidth="1"/>
    <col min="47" max="47" width="12.23046875" style="4" bestFit="1" customWidth="1"/>
    <col min="48" max="48" width="9.15234375" style="4"/>
    <col min="49" max="49" width="12.23046875" style="4" bestFit="1" customWidth="1"/>
    <col min="50" max="54" width="11.23046875" style="4" bestFit="1" customWidth="1"/>
    <col min="55" max="56" width="12" style="4" bestFit="1" customWidth="1"/>
    <col min="57" max="57" width="9.15234375" style="4"/>
    <col min="58" max="58" width="14.15234375" style="4" bestFit="1" customWidth="1"/>
    <col min="59" max="59" width="11.23046875" style="4" bestFit="1" customWidth="1"/>
    <col min="60" max="60" width="12.23046875" style="4" bestFit="1" customWidth="1"/>
    <col min="61" max="61" width="10.23046875" style="4" bestFit="1" customWidth="1"/>
    <col min="62" max="62" width="11.23046875" style="4" bestFit="1" customWidth="1"/>
    <col min="63" max="63" width="9.15234375" style="4"/>
    <col min="64" max="64" width="11.23046875" style="4" bestFit="1" customWidth="1"/>
    <col min="65" max="65" width="9.15234375" style="4"/>
    <col min="66" max="66" width="11.23046875" style="4" bestFit="1" customWidth="1"/>
    <col min="67" max="67" width="9.15234375" style="4"/>
    <col min="68" max="69" width="12" style="4" bestFit="1" customWidth="1"/>
    <col min="70" max="16384" width="9.15234375" style="4"/>
  </cols>
  <sheetData>
    <row r="1" spans="1:121" ht="14.6" x14ac:dyDescent="0.4">
      <c r="J1" s="131" t="s">
        <v>708</v>
      </c>
      <c r="K1" s="4" t="s">
        <v>450</v>
      </c>
      <c r="N1" s="358" t="s">
        <v>303</v>
      </c>
      <c r="O1" s="358"/>
      <c r="Q1" s="131" t="s">
        <v>344</v>
      </c>
      <c r="AA1" s="7" t="s">
        <v>303</v>
      </c>
      <c r="AB1" s="7" t="s">
        <v>303</v>
      </c>
      <c r="AK1" s="133" t="s">
        <v>702</v>
      </c>
      <c r="AL1" s="4" t="s">
        <v>703</v>
      </c>
      <c r="AM1" s="4" t="s">
        <v>675</v>
      </c>
      <c r="AN1" s="4" t="s">
        <v>80</v>
      </c>
      <c r="AO1" s="4" t="s">
        <v>452</v>
      </c>
      <c r="AP1" s="4" t="s">
        <v>452</v>
      </c>
      <c r="AT1" s="356" t="s">
        <v>705</v>
      </c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G1" s="356" t="s">
        <v>706</v>
      </c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T1" s="356" t="s">
        <v>676</v>
      </c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G1" s="356" t="s">
        <v>677</v>
      </c>
      <c r="CH1" s="356"/>
      <c r="CI1" s="356"/>
      <c r="CJ1" s="356"/>
      <c r="CK1" s="356"/>
      <c r="CL1" s="356"/>
      <c r="CM1" s="356"/>
      <c r="CN1" s="356"/>
      <c r="CO1" s="356"/>
      <c r="CP1" s="356"/>
      <c r="CQ1" s="356"/>
      <c r="CR1" s="356"/>
      <c r="CT1" s="4" t="s">
        <v>678</v>
      </c>
      <c r="DG1" s="4" t="s">
        <v>680</v>
      </c>
    </row>
    <row r="2" spans="1:121" x14ac:dyDescent="0.35">
      <c r="B2" s="4" t="s">
        <v>437</v>
      </c>
      <c r="D2" s="28"/>
      <c r="E2" s="28"/>
      <c r="F2" s="28"/>
      <c r="G2" s="102"/>
      <c r="H2" s="102"/>
      <c r="I2" s="102"/>
      <c r="J2" s="7">
        <v>26982744189</v>
      </c>
      <c r="K2" s="100">
        <v>4.3</v>
      </c>
      <c r="L2" s="7" t="s">
        <v>303</v>
      </c>
      <c r="M2" s="7"/>
      <c r="N2" s="7">
        <v>33447373451</v>
      </c>
      <c r="O2" s="7">
        <v>24031426254</v>
      </c>
      <c r="P2" s="7"/>
      <c r="Q2" s="7">
        <v>1920757654</v>
      </c>
      <c r="R2" s="7" t="s">
        <v>303</v>
      </c>
      <c r="S2" s="7" t="s">
        <v>303</v>
      </c>
      <c r="T2" s="7"/>
      <c r="U2" s="4">
        <v>145723403</v>
      </c>
      <c r="V2" s="7">
        <v>3183742571</v>
      </c>
      <c r="W2" s="7">
        <v>0</v>
      </c>
      <c r="X2" s="4">
        <v>0</v>
      </c>
      <c r="Y2" s="7">
        <v>3329465974</v>
      </c>
      <c r="Z2" s="7">
        <v>146957640</v>
      </c>
      <c r="AA2" s="7">
        <v>1802440383</v>
      </c>
      <c r="AB2" s="7">
        <v>183473539</v>
      </c>
      <c r="AC2" s="4">
        <v>0</v>
      </c>
      <c r="AD2" s="32">
        <v>2132871562</v>
      </c>
      <c r="AE2" s="7">
        <v>281996533</v>
      </c>
      <c r="AF2" s="7">
        <v>603315120</v>
      </c>
      <c r="AG2" s="7">
        <v>340511949</v>
      </c>
      <c r="AH2" s="7">
        <v>-29229193</v>
      </c>
      <c r="AI2" s="7">
        <v>0</v>
      </c>
      <c r="AJ2" s="7">
        <v>0</v>
      </c>
      <c r="AK2" s="7">
        <v>29500107914</v>
      </c>
      <c r="AL2" s="32">
        <v>5049199495</v>
      </c>
      <c r="AM2" s="32">
        <v>373164411</v>
      </c>
      <c r="AN2" s="32">
        <v>958680706</v>
      </c>
      <c r="AO2" s="32">
        <v>26982744190</v>
      </c>
      <c r="AP2" s="32">
        <v>1</v>
      </c>
      <c r="AS2" s="4" t="s">
        <v>438</v>
      </c>
      <c r="AT2" s="39" t="s">
        <v>439</v>
      </c>
      <c r="AU2" s="39" t="s">
        <v>442</v>
      </c>
      <c r="AV2" s="44" t="s">
        <v>439</v>
      </c>
      <c r="AW2" s="44" t="s">
        <v>443</v>
      </c>
      <c r="AX2" s="4" t="s">
        <v>439</v>
      </c>
      <c r="AY2" s="4" t="s">
        <v>444</v>
      </c>
      <c r="AZ2" s="4" t="s">
        <v>439</v>
      </c>
      <c r="BA2" s="4" t="s">
        <v>681</v>
      </c>
      <c r="BB2" s="4" t="s">
        <v>439</v>
      </c>
      <c r="BC2" s="4" t="s">
        <v>709</v>
      </c>
      <c r="BD2" s="4" t="s">
        <v>439</v>
      </c>
      <c r="BF2" s="4" t="s">
        <v>438</v>
      </c>
      <c r="BG2" s="39" t="s">
        <v>439</v>
      </c>
      <c r="BH2" s="39" t="s">
        <v>447</v>
      </c>
      <c r="BI2" s="44" t="s">
        <v>439</v>
      </c>
      <c r="BJ2" s="44" t="s">
        <v>443</v>
      </c>
      <c r="BK2" s="4" t="s">
        <v>439</v>
      </c>
      <c r="BL2" s="4" t="s">
        <v>444</v>
      </c>
      <c r="BM2" s="4" t="s">
        <v>439</v>
      </c>
      <c r="BN2" s="4" t="s">
        <v>681</v>
      </c>
      <c r="BO2" s="4" t="s">
        <v>439</v>
      </c>
      <c r="BP2" s="4" t="s">
        <v>709</v>
      </c>
      <c r="BQ2" s="4" t="s">
        <v>439</v>
      </c>
      <c r="BS2" s="4" t="s">
        <v>438</v>
      </c>
      <c r="BT2" s="4" t="s">
        <v>439</v>
      </c>
      <c r="BU2" s="4" t="s">
        <v>441</v>
      </c>
      <c r="BV2" s="44" t="s">
        <v>439</v>
      </c>
      <c r="BW2" s="44" t="s">
        <v>440</v>
      </c>
      <c r="BX2" s="39" t="s">
        <v>439</v>
      </c>
      <c r="BY2" s="39" t="s">
        <v>442</v>
      </c>
      <c r="BZ2" s="4" t="s">
        <v>439</v>
      </c>
      <c r="CA2" s="4" t="s">
        <v>443</v>
      </c>
      <c r="CB2" s="4" t="s">
        <v>439</v>
      </c>
      <c r="CC2" s="4" t="s">
        <v>444</v>
      </c>
      <c r="CD2" s="4" t="s">
        <v>439</v>
      </c>
      <c r="CE2" s="4" t="s">
        <v>303</v>
      </c>
      <c r="CF2" s="4" t="s">
        <v>438</v>
      </c>
      <c r="CG2" s="4" t="s">
        <v>439</v>
      </c>
      <c r="CH2" s="4" t="s">
        <v>445</v>
      </c>
      <c r="CI2" s="44" t="s">
        <v>439</v>
      </c>
      <c r="CJ2" s="44" t="s">
        <v>446</v>
      </c>
      <c r="CK2" s="39" t="s">
        <v>439</v>
      </c>
      <c r="CL2" s="39" t="s">
        <v>447</v>
      </c>
      <c r="CM2" s="4" t="s">
        <v>439</v>
      </c>
      <c r="CN2" s="4" t="s">
        <v>448</v>
      </c>
      <c r="CO2" s="4" t="s">
        <v>439</v>
      </c>
      <c r="CP2" s="4" t="s">
        <v>449</v>
      </c>
      <c r="CQ2" s="4" t="s">
        <v>439</v>
      </c>
      <c r="CS2" s="4" t="s">
        <v>438</v>
      </c>
      <c r="CT2" s="4" t="s">
        <v>439</v>
      </c>
      <c r="CU2" s="4" t="s">
        <v>440</v>
      </c>
      <c r="CV2" s="39" t="s">
        <v>439</v>
      </c>
      <c r="CW2" s="39" t="s">
        <v>442</v>
      </c>
      <c r="CX2" s="4" t="s">
        <v>439</v>
      </c>
      <c r="CY2" s="4" t="s">
        <v>443</v>
      </c>
      <c r="CZ2" s="4" t="s">
        <v>439</v>
      </c>
      <c r="DA2" s="4" t="s">
        <v>444</v>
      </c>
      <c r="DB2" s="4" t="s">
        <v>439</v>
      </c>
      <c r="DC2" s="4" t="s">
        <v>681</v>
      </c>
      <c r="DD2" s="4" t="s">
        <v>439</v>
      </c>
      <c r="DF2" s="4" t="s">
        <v>438</v>
      </c>
      <c r="DG2" s="4" t="s">
        <v>439</v>
      </c>
      <c r="DH2" s="4" t="s">
        <v>446</v>
      </c>
      <c r="DI2" s="39" t="s">
        <v>439</v>
      </c>
      <c r="DJ2" s="39" t="s">
        <v>447</v>
      </c>
      <c r="DK2" s="4" t="s">
        <v>439</v>
      </c>
      <c r="DL2" s="4" t="s">
        <v>448</v>
      </c>
      <c r="DM2" s="4" t="s">
        <v>439</v>
      </c>
      <c r="DN2" s="4" t="s">
        <v>449</v>
      </c>
      <c r="DO2" s="4" t="s">
        <v>439</v>
      </c>
      <c r="DP2" s="4" t="s">
        <v>682</v>
      </c>
      <c r="DQ2" s="4" t="s">
        <v>439</v>
      </c>
    </row>
    <row r="3" spans="1:121" ht="15.45" x14ac:dyDescent="0.5">
      <c r="U3" s="359" t="s">
        <v>81</v>
      </c>
      <c r="V3" s="359"/>
      <c r="W3" s="359"/>
      <c r="X3" s="359"/>
      <c r="Y3" s="103" t="s">
        <v>64</v>
      </c>
      <c r="Z3" s="359" t="s">
        <v>82</v>
      </c>
      <c r="AA3" s="359"/>
      <c r="AB3" s="359"/>
      <c r="AC3" s="359"/>
      <c r="AD3" s="132" t="s">
        <v>64</v>
      </c>
      <c r="AE3" s="357" t="s">
        <v>84</v>
      </c>
      <c r="AF3" s="357"/>
      <c r="AG3" s="357"/>
      <c r="AH3" s="357"/>
      <c r="AI3" s="357"/>
      <c r="AJ3" s="50"/>
      <c r="AK3" s="4" t="s">
        <v>86</v>
      </c>
      <c r="AL3" s="4" t="s">
        <v>703</v>
      </c>
      <c r="AM3" s="4" t="s">
        <v>675</v>
      </c>
      <c r="AS3" s="4">
        <v>2017</v>
      </c>
      <c r="AT3" s="39">
        <v>2017</v>
      </c>
      <c r="AU3" s="39">
        <v>2017</v>
      </c>
      <c r="AV3" s="44">
        <f t="shared" ref="AV3:BD3" si="0">AT3+1</f>
        <v>2018</v>
      </c>
      <c r="AW3" s="44">
        <f t="shared" si="0"/>
        <v>2018</v>
      </c>
      <c r="AX3" s="4">
        <f t="shared" si="0"/>
        <v>2019</v>
      </c>
      <c r="AY3" s="4">
        <f t="shared" si="0"/>
        <v>2019</v>
      </c>
      <c r="AZ3" s="4">
        <f t="shared" si="0"/>
        <v>2020</v>
      </c>
      <c r="BA3" s="4">
        <f t="shared" si="0"/>
        <v>2020</v>
      </c>
      <c r="BB3" s="4">
        <f t="shared" si="0"/>
        <v>2021</v>
      </c>
      <c r="BC3" s="4">
        <f t="shared" si="0"/>
        <v>2021</v>
      </c>
      <c r="BD3" s="4">
        <f t="shared" si="0"/>
        <v>2022</v>
      </c>
      <c r="BF3" s="4">
        <v>2017</v>
      </c>
      <c r="BG3" s="39">
        <v>2017</v>
      </c>
      <c r="BH3" s="39">
        <v>2017</v>
      </c>
      <c r="BI3" s="44">
        <f t="shared" ref="BI3:BQ3" si="1">BG3+1</f>
        <v>2018</v>
      </c>
      <c r="BJ3" s="44">
        <f t="shared" si="1"/>
        <v>2018</v>
      </c>
      <c r="BK3" s="4">
        <f t="shared" si="1"/>
        <v>2019</v>
      </c>
      <c r="BL3" s="4">
        <f t="shared" si="1"/>
        <v>2019</v>
      </c>
      <c r="BM3" s="4">
        <f t="shared" si="1"/>
        <v>2020</v>
      </c>
      <c r="BN3" s="4">
        <f t="shared" si="1"/>
        <v>2020</v>
      </c>
      <c r="BO3" s="4">
        <f t="shared" si="1"/>
        <v>2021</v>
      </c>
      <c r="BP3" s="4">
        <f t="shared" si="1"/>
        <v>2021</v>
      </c>
      <c r="BQ3" s="4">
        <f t="shared" si="1"/>
        <v>2022</v>
      </c>
      <c r="BS3" s="4">
        <v>2015</v>
      </c>
      <c r="BT3" s="4">
        <v>2015</v>
      </c>
      <c r="BU3" s="4">
        <v>2015</v>
      </c>
      <c r="BV3" s="44">
        <f>BT3+1</f>
        <v>2016</v>
      </c>
      <c r="BW3" s="44">
        <f t="shared" ref="BW3:CD3" si="2">BU3+1</f>
        <v>2016</v>
      </c>
      <c r="BX3" s="39">
        <f t="shared" si="2"/>
        <v>2017</v>
      </c>
      <c r="BY3" s="39">
        <f t="shared" si="2"/>
        <v>2017</v>
      </c>
      <c r="BZ3" s="4">
        <f t="shared" si="2"/>
        <v>2018</v>
      </c>
      <c r="CA3" s="4">
        <f t="shared" si="2"/>
        <v>2018</v>
      </c>
      <c r="CB3" s="4">
        <f t="shared" si="2"/>
        <v>2019</v>
      </c>
      <c r="CC3" s="4">
        <f t="shared" si="2"/>
        <v>2019</v>
      </c>
      <c r="CD3" s="4">
        <f t="shared" si="2"/>
        <v>2020</v>
      </c>
      <c r="CF3" s="4">
        <v>2015</v>
      </c>
      <c r="CG3" s="4">
        <v>2015</v>
      </c>
      <c r="CH3" s="4">
        <v>2015</v>
      </c>
      <c r="CI3" s="44">
        <f>CG3+1</f>
        <v>2016</v>
      </c>
      <c r="CJ3" s="44">
        <f t="shared" ref="CJ3:CQ3" si="3">CH3+1</f>
        <v>2016</v>
      </c>
      <c r="CK3" s="39">
        <f t="shared" si="3"/>
        <v>2017</v>
      </c>
      <c r="CL3" s="39">
        <f t="shared" si="3"/>
        <v>2017</v>
      </c>
      <c r="CM3" s="4">
        <f t="shared" si="3"/>
        <v>2018</v>
      </c>
      <c r="CN3" s="4">
        <f t="shared" si="3"/>
        <v>2018</v>
      </c>
      <c r="CO3" s="4">
        <f t="shared" si="3"/>
        <v>2019</v>
      </c>
      <c r="CP3" s="4">
        <f t="shared" si="3"/>
        <v>2019</v>
      </c>
      <c r="CQ3" s="4">
        <f t="shared" si="3"/>
        <v>2020</v>
      </c>
      <c r="CS3" s="4">
        <v>2016</v>
      </c>
      <c r="CT3" s="4">
        <v>2016</v>
      </c>
      <c r="CU3" s="4">
        <v>2016</v>
      </c>
      <c r="CV3" s="39">
        <v>2017</v>
      </c>
      <c r="CW3" s="39">
        <v>2017</v>
      </c>
      <c r="CX3" s="4">
        <v>2018</v>
      </c>
      <c r="CY3" s="4">
        <v>2018</v>
      </c>
      <c r="CZ3" s="4">
        <v>2019</v>
      </c>
      <c r="DA3" s="4">
        <v>2019</v>
      </c>
      <c r="DB3" s="4">
        <v>2020</v>
      </c>
      <c r="DC3" s="4">
        <v>2020</v>
      </c>
      <c r="DD3" s="4">
        <v>2021</v>
      </c>
      <c r="DF3" s="4">
        <v>2016</v>
      </c>
      <c r="DG3" s="4">
        <v>2016</v>
      </c>
      <c r="DH3" s="4">
        <v>2016</v>
      </c>
      <c r="DI3" s="39">
        <v>2017</v>
      </c>
      <c r="DJ3" s="39">
        <v>2017</v>
      </c>
      <c r="DK3" s="4">
        <v>2018</v>
      </c>
      <c r="DL3" s="4">
        <v>2018</v>
      </c>
      <c r="DM3" s="4">
        <v>2019</v>
      </c>
      <c r="DN3" s="4">
        <v>2019</v>
      </c>
      <c r="DO3" s="4">
        <v>2020</v>
      </c>
      <c r="DP3" s="4">
        <v>2020</v>
      </c>
      <c r="DQ3" s="4">
        <v>2021</v>
      </c>
    </row>
    <row r="4" spans="1:121" ht="15.45" x14ac:dyDescent="0.5">
      <c r="J4" s="359" t="s">
        <v>674</v>
      </c>
      <c r="K4" s="359"/>
      <c r="L4" s="359"/>
      <c r="M4" s="359"/>
      <c r="N4" s="359"/>
      <c r="O4" s="359"/>
      <c r="P4" s="29"/>
      <c r="Q4" s="28"/>
      <c r="R4" s="28"/>
      <c r="S4" s="28"/>
      <c r="T4" s="104"/>
      <c r="U4" s="28"/>
      <c r="V4" s="28"/>
      <c r="W4" s="28"/>
      <c r="X4" s="28"/>
      <c r="Y4" s="102"/>
      <c r="Z4" s="28"/>
      <c r="AA4" s="28"/>
      <c r="AB4" s="28"/>
      <c r="AC4" s="28"/>
      <c r="AD4" s="102"/>
      <c r="AE4" s="356" t="s">
        <v>85</v>
      </c>
      <c r="AF4" s="356"/>
      <c r="AG4" s="356"/>
      <c r="AH4" s="356"/>
      <c r="AI4" s="356"/>
      <c r="AJ4" s="49"/>
      <c r="AK4" s="4" t="s">
        <v>707</v>
      </c>
    </row>
    <row r="5" spans="1:121" x14ac:dyDescent="0.35">
      <c r="J5" s="28" t="s">
        <v>69</v>
      </c>
      <c r="K5" s="28" t="s">
        <v>69</v>
      </c>
      <c r="L5" s="28" t="s">
        <v>69</v>
      </c>
      <c r="M5" s="28"/>
      <c r="N5" s="28" t="s">
        <v>69</v>
      </c>
      <c r="O5" s="28" t="s">
        <v>69</v>
      </c>
      <c r="P5" s="28"/>
      <c r="Q5" s="41" t="s">
        <v>64</v>
      </c>
      <c r="R5" s="41" t="s">
        <v>334</v>
      </c>
      <c r="S5" s="41" t="s">
        <v>337</v>
      </c>
      <c r="T5" s="41" t="s">
        <v>451</v>
      </c>
      <c r="U5" s="28"/>
      <c r="V5" s="28"/>
      <c r="W5" s="28"/>
      <c r="X5" s="28" t="s">
        <v>77</v>
      </c>
      <c r="Y5" s="102"/>
      <c r="Z5" s="28"/>
      <c r="AA5" s="28"/>
      <c r="AB5" s="28"/>
      <c r="AC5" s="28" t="s">
        <v>77</v>
      </c>
      <c r="AD5" s="102"/>
      <c r="AE5" s="28"/>
    </row>
    <row r="6" spans="1:121" x14ac:dyDescent="0.35">
      <c r="D6" s="28" t="s">
        <v>68</v>
      </c>
      <c r="E6" s="28" t="s">
        <v>68</v>
      </c>
      <c r="F6" s="28" t="s">
        <v>68</v>
      </c>
      <c r="G6" s="102" t="s">
        <v>68</v>
      </c>
      <c r="H6" s="102" t="s">
        <v>68</v>
      </c>
      <c r="I6" s="102" t="s">
        <v>68</v>
      </c>
      <c r="J6" s="8">
        <v>4.4900000000000002E-2</v>
      </c>
      <c r="K6" s="8">
        <f>J6</f>
        <v>4.4900000000000002E-2</v>
      </c>
      <c r="L6" s="8">
        <f>J6</f>
        <v>4.4900000000000002E-2</v>
      </c>
      <c r="M6" s="8"/>
      <c r="N6" s="28" t="s">
        <v>70</v>
      </c>
      <c r="O6" s="28" t="s">
        <v>71</v>
      </c>
      <c r="P6" s="28"/>
      <c r="Q6" s="41" t="s">
        <v>60</v>
      </c>
      <c r="R6" s="41" t="s">
        <v>335</v>
      </c>
      <c r="S6" s="41" t="s">
        <v>60</v>
      </c>
      <c r="T6" s="41" t="s">
        <v>314</v>
      </c>
      <c r="U6" s="28" t="s">
        <v>72</v>
      </c>
      <c r="V6" s="28" t="s">
        <v>75</v>
      </c>
      <c r="W6" s="28" t="s">
        <v>76</v>
      </c>
      <c r="X6" s="28" t="s">
        <v>78</v>
      </c>
      <c r="Y6" s="102"/>
      <c r="Z6" s="28" t="s">
        <v>72</v>
      </c>
      <c r="AA6" s="28" t="s">
        <v>75</v>
      </c>
      <c r="AB6" s="28" t="s">
        <v>76</v>
      </c>
      <c r="AC6" s="28" t="s">
        <v>78</v>
      </c>
      <c r="AD6" s="102"/>
      <c r="AE6" s="28"/>
      <c r="AK6" s="28" t="s">
        <v>69</v>
      </c>
    </row>
    <row r="7" spans="1:121" x14ac:dyDescent="0.35">
      <c r="D7" s="28" t="s">
        <v>330</v>
      </c>
      <c r="E7" s="28" t="s">
        <v>329</v>
      </c>
      <c r="F7" s="28" t="s">
        <v>331</v>
      </c>
      <c r="G7" s="102" t="s">
        <v>330</v>
      </c>
      <c r="H7" s="102" t="s">
        <v>329</v>
      </c>
      <c r="I7" s="102" t="s">
        <v>331</v>
      </c>
      <c r="J7" s="39" t="s">
        <v>339</v>
      </c>
      <c r="K7" s="40" t="s">
        <v>340</v>
      </c>
      <c r="L7" s="40" t="s">
        <v>341</v>
      </c>
      <c r="M7" s="8"/>
      <c r="N7" s="8">
        <f>J6-0.01</f>
        <v>3.49E-2</v>
      </c>
      <c r="O7" s="8">
        <f>J6+0.01</f>
        <v>5.4900000000000004E-2</v>
      </c>
      <c r="P7" s="8"/>
      <c r="Q7" s="41" t="s">
        <v>333</v>
      </c>
      <c r="R7" s="41" t="s">
        <v>336</v>
      </c>
      <c r="S7" s="41" t="s">
        <v>333</v>
      </c>
      <c r="T7" s="41" t="s">
        <v>344</v>
      </c>
      <c r="U7" s="28" t="s">
        <v>73</v>
      </c>
      <c r="V7" s="28" t="s">
        <v>74</v>
      </c>
      <c r="W7" s="28" t="s">
        <v>73</v>
      </c>
      <c r="X7" s="28" t="s">
        <v>79</v>
      </c>
      <c r="Y7" s="102"/>
      <c r="Z7" s="28" t="s">
        <v>73</v>
      </c>
      <c r="AA7" s="28" t="s">
        <v>74</v>
      </c>
      <c r="AB7" s="28" t="s">
        <v>73</v>
      </c>
      <c r="AC7" s="28" t="s">
        <v>79</v>
      </c>
      <c r="AD7" s="102"/>
      <c r="AE7" s="28">
        <v>2018</v>
      </c>
      <c r="AF7" s="28">
        <f>AE7+1</f>
        <v>2019</v>
      </c>
      <c r="AG7" s="104">
        <f t="shared" ref="AG7:AI7" si="4">AF7+1</f>
        <v>2020</v>
      </c>
      <c r="AH7" s="104">
        <f t="shared" si="4"/>
        <v>2021</v>
      </c>
      <c r="AI7" s="104">
        <f t="shared" si="4"/>
        <v>2022</v>
      </c>
      <c r="AJ7" s="49" t="s">
        <v>83</v>
      </c>
      <c r="AK7" s="8">
        <v>4.2000000000000003E-2</v>
      </c>
    </row>
    <row r="8" spans="1:121" x14ac:dyDescent="0.35">
      <c r="D8" s="4">
        <v>2017</v>
      </c>
      <c r="E8" s="4">
        <f>D8</f>
        <v>2017</v>
      </c>
      <c r="F8" s="4">
        <f>E8</f>
        <v>2017</v>
      </c>
      <c r="G8" s="4">
        <f>D8-1</f>
        <v>2016</v>
      </c>
      <c r="H8" s="4">
        <f>G8</f>
        <v>2016</v>
      </c>
      <c r="I8" s="4">
        <f>H8</f>
        <v>2016</v>
      </c>
      <c r="AN8" s="4" t="s">
        <v>80</v>
      </c>
      <c r="AO8" s="4" t="s">
        <v>345</v>
      </c>
      <c r="AP8" s="4" t="s">
        <v>346</v>
      </c>
    </row>
    <row r="9" spans="1:121" x14ac:dyDescent="0.35">
      <c r="A9" s="356" t="s">
        <v>67</v>
      </c>
      <c r="B9" s="356"/>
      <c r="C9" s="45"/>
      <c r="D9" s="6" t="s">
        <v>303</v>
      </c>
      <c r="E9" s="6"/>
      <c r="F9" s="6"/>
      <c r="G9" s="6"/>
      <c r="H9" s="6"/>
      <c r="I9" s="6"/>
      <c r="T9" s="7"/>
    </row>
    <row r="10" spans="1:121" x14ac:dyDescent="0.35">
      <c r="A10" s="84">
        <f>'2017 Prop share of contribs'!A6</f>
        <v>1</v>
      </c>
      <c r="B10" s="84" t="str">
        <f>'2017 Prop share of contribs'!B6</f>
        <v xml:space="preserve">ADAIR COUNTY SCHOOLS  </v>
      </c>
      <c r="C10" s="25" t="s">
        <v>121</v>
      </c>
      <c r="D10" s="33">
        <f>ROUND('Employer Allocations'!G49,8)</f>
        <v>0</v>
      </c>
      <c r="E10" s="4">
        <f>ROUND('Employer Allocations'!H49,8)</f>
        <v>3.2508400000000001E-3</v>
      </c>
      <c r="F10" s="4">
        <f>ROUND('Employer Allocations'!I49,8)</f>
        <v>3.2508400000000001E-3</v>
      </c>
      <c r="G10" s="4">
        <v>0</v>
      </c>
      <c r="H10" s="4">
        <v>3.29219E-3</v>
      </c>
      <c r="I10" s="4">
        <v>3.29219E-3</v>
      </c>
      <c r="J10" s="7">
        <f t="shared" ref="J10:J73" si="5">ROUND($J$2*D10,0)</f>
        <v>0</v>
      </c>
      <c r="K10" s="7">
        <f t="shared" ref="K10:K73" si="6">ROUND($J$2*E10,0)</f>
        <v>87716584</v>
      </c>
      <c r="L10" s="7">
        <f>J10+K10</f>
        <v>87716584</v>
      </c>
      <c r="M10" s="7"/>
      <c r="N10" s="7">
        <f t="shared" ref="N10:N73" si="7">ROUND($N$2*D10,0)</f>
        <v>0</v>
      </c>
      <c r="O10" s="32">
        <f t="shared" ref="O10:O73" si="8">ROUND($O$2*D10,0)</f>
        <v>0</v>
      </c>
      <c r="P10" s="32"/>
      <c r="Q10" s="32">
        <f t="shared" ref="Q10:Q73" si="9">ROUND(Q$2*$F10,0)</f>
        <v>6244076</v>
      </c>
      <c r="R10" s="32">
        <f>ROUND(Q$2*$E10,0)</f>
        <v>6244076</v>
      </c>
      <c r="S10" s="32">
        <f>Q10-R10</f>
        <v>0</v>
      </c>
      <c r="T10" s="32">
        <f t="shared" ref="T10:T73" si="10">S10+AT10-BG10+BV10-CI10</f>
        <v>0</v>
      </c>
      <c r="U10" s="32">
        <f t="shared" ref="U10:AJ25" si="11">ROUND(U$2*$D10,0)</f>
        <v>0</v>
      </c>
      <c r="V10" s="32">
        <f t="shared" si="11"/>
        <v>0</v>
      </c>
      <c r="W10" s="32">
        <f t="shared" si="11"/>
        <v>0</v>
      </c>
      <c r="X10" s="32">
        <f>AU10+BW10</f>
        <v>0</v>
      </c>
      <c r="Y10" s="32"/>
      <c r="Z10" s="32">
        <f t="shared" si="11"/>
        <v>0</v>
      </c>
      <c r="AA10" s="32">
        <f t="shared" si="11"/>
        <v>0</v>
      </c>
      <c r="AB10" s="32">
        <f t="shared" si="11"/>
        <v>0</v>
      </c>
      <c r="AC10" s="32">
        <f>BH10+CJ10</f>
        <v>0</v>
      </c>
      <c r="AD10" s="32"/>
      <c r="AE10" s="32">
        <f t="shared" si="11"/>
        <v>0</v>
      </c>
      <c r="AF10" s="32">
        <f t="shared" si="11"/>
        <v>0</v>
      </c>
      <c r="AG10" s="32">
        <f t="shared" si="11"/>
        <v>0</v>
      </c>
      <c r="AH10" s="32">
        <f t="shared" si="11"/>
        <v>0</v>
      </c>
      <c r="AI10" s="32">
        <f t="shared" si="11"/>
        <v>0</v>
      </c>
      <c r="AJ10" s="32">
        <f t="shared" si="11"/>
        <v>0</v>
      </c>
      <c r="AK10" s="7">
        <v>0</v>
      </c>
      <c r="AL10" s="32">
        <v>0</v>
      </c>
      <c r="AM10" s="32"/>
      <c r="AN10" s="4">
        <v>0</v>
      </c>
      <c r="AO10" s="32">
        <f>AK10+T10+Y10-AD10-AN10-AL10+AM10</f>
        <v>0</v>
      </c>
      <c r="AP10" s="32">
        <f t="shared" ref="AP10" si="12">J10-AO10</f>
        <v>0</v>
      </c>
      <c r="AS10" s="32">
        <f>ROUND((IF(D10&gt;G10,D10-G10,0))*(AK$2-AL$2+AM$2),0)</f>
        <v>0</v>
      </c>
      <c r="AT10" s="32">
        <f t="shared" ref="AT10:AT73" si="13">ROUND(AS10/$K$2,0)</f>
        <v>0</v>
      </c>
      <c r="AU10" s="32">
        <f>AS10-AT10</f>
        <v>0</v>
      </c>
      <c r="AV10" s="4">
        <f>AT10</f>
        <v>0</v>
      </c>
      <c r="AW10" s="32">
        <f>AU10-AV10</f>
        <v>0</v>
      </c>
      <c r="AX10" s="4">
        <f>AV10</f>
        <v>0</v>
      </c>
      <c r="AY10" s="32">
        <f>AW10-AX10</f>
        <v>0</v>
      </c>
      <c r="AZ10" s="4">
        <f>AX10</f>
        <v>0</v>
      </c>
      <c r="BA10" s="32">
        <f>AY10-AZ10</f>
        <v>0</v>
      </c>
      <c r="BB10" s="32">
        <f t="shared" ref="BB10:BB73" si="14">BA10</f>
        <v>0</v>
      </c>
      <c r="BC10" s="32">
        <f>BA10-BB10</f>
        <v>0</v>
      </c>
      <c r="BD10" s="32">
        <f>BC10</f>
        <v>0</v>
      </c>
      <c r="BF10" s="32">
        <f>ROUND((IF(D10&lt;G10,G10-D10,0))*(AK$2-AL$2+AM$2),0)</f>
        <v>0</v>
      </c>
      <c r="BG10" s="32">
        <f t="shared" ref="BG10:BG73" si="15">ROUND(BF10/$K$2,0)</f>
        <v>0</v>
      </c>
      <c r="BH10" s="32">
        <f>BF10-BG10</f>
        <v>0</v>
      </c>
      <c r="BI10" s="4">
        <f>BG10</f>
        <v>0</v>
      </c>
      <c r="BJ10" s="32">
        <f>BH10-BI10</f>
        <v>0</v>
      </c>
      <c r="BK10" s="4">
        <f>BI10</f>
        <v>0</v>
      </c>
      <c r="BL10" s="32">
        <f>BJ10-BK10</f>
        <v>0</v>
      </c>
      <c r="BM10" s="4">
        <f>BK10</f>
        <v>0</v>
      </c>
      <c r="BN10" s="32">
        <f>BL10-BM10</f>
        <v>0</v>
      </c>
      <c r="BO10" s="4">
        <f>BM10</f>
        <v>0</v>
      </c>
      <c r="BP10" s="32">
        <f>BN10-BO10</f>
        <v>0</v>
      </c>
      <c r="BQ10" s="32">
        <f>BP10</f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4">
        <v>0</v>
      </c>
      <c r="DP10" s="4">
        <v>0</v>
      </c>
      <c r="DQ10" s="4">
        <v>0</v>
      </c>
    </row>
    <row r="11" spans="1:121" x14ac:dyDescent="0.35">
      <c r="A11" s="84">
        <f>'2017 Prop share of contribs'!A7</f>
        <v>2</v>
      </c>
      <c r="B11" s="84" t="str">
        <f>'2017 Prop share of contribs'!B7</f>
        <v xml:space="preserve">ALLEN COUNTY SCHOOLS  </v>
      </c>
      <c r="C11" s="25" t="s">
        <v>122</v>
      </c>
      <c r="D11" s="33">
        <f>ROUND('Employer Allocations'!G50,8)</f>
        <v>0</v>
      </c>
      <c r="E11" s="4">
        <f>ROUND('Employer Allocations'!H50,8)</f>
        <v>3.8770200000000001E-3</v>
      </c>
      <c r="F11" s="4">
        <f>ROUND('Employer Allocations'!I50,8)</f>
        <v>3.8770200000000001E-3</v>
      </c>
      <c r="G11" s="4">
        <v>0</v>
      </c>
      <c r="H11" s="4">
        <v>3.83199E-3</v>
      </c>
      <c r="I11" s="4">
        <v>3.83199E-3</v>
      </c>
      <c r="J11" s="7">
        <f t="shared" si="5"/>
        <v>0</v>
      </c>
      <c r="K11" s="7">
        <f t="shared" si="6"/>
        <v>104612639</v>
      </c>
      <c r="L11" s="7">
        <f t="shared" ref="L11:L74" si="16">J11+K11</f>
        <v>104612639</v>
      </c>
      <c r="M11" s="7"/>
      <c r="N11" s="7">
        <f t="shared" si="7"/>
        <v>0</v>
      </c>
      <c r="O11" s="32">
        <f t="shared" si="8"/>
        <v>0</v>
      </c>
      <c r="P11" s="32"/>
      <c r="Q11" s="32">
        <f t="shared" si="9"/>
        <v>7446816</v>
      </c>
      <c r="R11" s="32">
        <f t="shared" ref="R11:R74" si="17">ROUND(Q$2*$E11,0)</f>
        <v>7446816</v>
      </c>
      <c r="S11" s="32">
        <f t="shared" ref="S11:S74" si="18">Q11-R11</f>
        <v>0</v>
      </c>
      <c r="T11" s="32">
        <f t="shared" si="10"/>
        <v>0</v>
      </c>
      <c r="U11" s="32">
        <f t="shared" si="11"/>
        <v>0</v>
      </c>
      <c r="V11" s="32">
        <f t="shared" si="11"/>
        <v>0</v>
      </c>
      <c r="W11" s="32">
        <f t="shared" si="11"/>
        <v>0</v>
      </c>
      <c r="X11" s="32">
        <f t="shared" ref="X11:X74" si="19">AU11+BW11</f>
        <v>0</v>
      </c>
      <c r="Y11" s="32"/>
      <c r="Z11" s="32">
        <f t="shared" si="11"/>
        <v>0</v>
      </c>
      <c r="AA11" s="32">
        <f t="shared" si="11"/>
        <v>0</v>
      </c>
      <c r="AB11" s="32">
        <f t="shared" si="11"/>
        <v>0</v>
      </c>
      <c r="AC11" s="32">
        <f t="shared" ref="AC11:AC74" si="20">BH11+CJ11</f>
        <v>0</v>
      </c>
      <c r="AD11" s="32"/>
      <c r="AE11" s="32">
        <f t="shared" si="11"/>
        <v>0</v>
      </c>
      <c r="AF11" s="32">
        <f t="shared" si="11"/>
        <v>0</v>
      </c>
      <c r="AG11" s="32">
        <f t="shared" si="11"/>
        <v>0</v>
      </c>
      <c r="AH11" s="32">
        <f t="shared" si="11"/>
        <v>0</v>
      </c>
      <c r="AI11" s="32">
        <f t="shared" si="11"/>
        <v>0</v>
      </c>
      <c r="AJ11" s="32">
        <f t="shared" si="11"/>
        <v>0</v>
      </c>
      <c r="AK11" s="7">
        <v>0</v>
      </c>
      <c r="AL11" s="32">
        <v>0</v>
      </c>
      <c r="AM11" s="32"/>
      <c r="AN11" s="4">
        <v>0</v>
      </c>
      <c r="AO11" s="32">
        <f t="shared" ref="AO11:AO74" si="21">AK11+T11+Y11-AD11-AN11-AL11+AM11</f>
        <v>0</v>
      </c>
      <c r="AP11" s="32">
        <f t="shared" ref="AP11:AP74" si="22">J11-AO11</f>
        <v>0</v>
      </c>
      <c r="AS11" s="32">
        <f t="shared" ref="AS11:AS74" si="23">ROUND((IF(D11&gt;G11,D11-G11,0))*(AK$2-AL$2+AM$2),0)</f>
        <v>0</v>
      </c>
      <c r="AT11" s="32">
        <f t="shared" si="13"/>
        <v>0</v>
      </c>
      <c r="AU11" s="32">
        <f t="shared" ref="AU11:AU74" si="24">AS11-AT11</f>
        <v>0</v>
      </c>
      <c r="AV11" s="4">
        <f t="shared" ref="AV11:AV74" si="25">AT11</f>
        <v>0</v>
      </c>
      <c r="AW11" s="32">
        <f t="shared" ref="AW11:AW74" si="26">AU11-AV11</f>
        <v>0</v>
      </c>
      <c r="AX11" s="4">
        <f t="shared" ref="AX11:AX74" si="27">AV11</f>
        <v>0</v>
      </c>
      <c r="AY11" s="32">
        <f t="shared" ref="AY11:AY74" si="28">AW11-AX11</f>
        <v>0</v>
      </c>
      <c r="AZ11" s="4">
        <f t="shared" ref="AZ11:AZ74" si="29">AX11</f>
        <v>0</v>
      </c>
      <c r="BA11" s="32">
        <f t="shared" ref="BA11:BA74" si="30">AY11-AZ11</f>
        <v>0</v>
      </c>
      <c r="BB11" s="32">
        <f t="shared" si="14"/>
        <v>0</v>
      </c>
      <c r="BC11" s="32">
        <f t="shared" ref="BC11:BC74" si="31">BA11-BB11</f>
        <v>0</v>
      </c>
      <c r="BD11" s="32">
        <f t="shared" ref="BD11:BD74" si="32">BC11</f>
        <v>0</v>
      </c>
      <c r="BF11" s="32">
        <f t="shared" ref="BF11:BF74" si="33">ROUND((IF(D11&lt;G11,G11-D11,0))*(AK$2-AL$2+AM$2),0)</f>
        <v>0</v>
      </c>
      <c r="BG11" s="32">
        <f t="shared" si="15"/>
        <v>0</v>
      </c>
      <c r="BH11" s="32">
        <f t="shared" ref="BH11:BH74" si="34">BF11-BG11</f>
        <v>0</v>
      </c>
      <c r="BI11" s="4">
        <f t="shared" ref="BI11:BI74" si="35">BG11</f>
        <v>0</v>
      </c>
      <c r="BJ11" s="32">
        <f t="shared" ref="BJ11:BJ74" si="36">BH11-BI11</f>
        <v>0</v>
      </c>
      <c r="BK11" s="4">
        <f t="shared" ref="BK11:BK74" si="37">BI11</f>
        <v>0</v>
      </c>
      <c r="BL11" s="32">
        <f t="shared" ref="BL11:BL74" si="38">BJ11-BK11</f>
        <v>0</v>
      </c>
      <c r="BM11" s="4">
        <f t="shared" ref="BM11:BM74" si="39">BK11</f>
        <v>0</v>
      </c>
      <c r="BN11" s="32">
        <f t="shared" ref="BN11:BN74" si="40">BL11-BM11</f>
        <v>0</v>
      </c>
      <c r="BO11" s="4">
        <f t="shared" ref="BO11:BO74" si="41">BM11</f>
        <v>0</v>
      </c>
      <c r="BP11" s="32">
        <f t="shared" ref="BP11:BP74" si="42">BN11-BO11</f>
        <v>0</v>
      </c>
      <c r="BQ11" s="32">
        <f t="shared" ref="BQ11:BQ74" si="43">BP11</f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</row>
    <row r="12" spans="1:121" x14ac:dyDescent="0.35">
      <c r="A12" s="84">
        <f>'2017 Prop share of contribs'!A8</f>
        <v>3</v>
      </c>
      <c r="B12" s="84" t="str">
        <f>'2017 Prop share of contribs'!B8</f>
        <v xml:space="preserve">ANDERSON COUNTY SCHOOLS  </v>
      </c>
      <c r="C12" s="25" t="s">
        <v>123</v>
      </c>
      <c r="D12" s="33">
        <f>ROUND('Employer Allocations'!G51,8)</f>
        <v>0</v>
      </c>
      <c r="E12" s="4">
        <f>ROUND('Employer Allocations'!H51,8)</f>
        <v>4.4765100000000004E-3</v>
      </c>
      <c r="F12" s="4">
        <f>ROUND('Employer Allocations'!I51,8)</f>
        <v>4.4765100000000004E-3</v>
      </c>
      <c r="G12" s="4">
        <v>0</v>
      </c>
      <c r="H12" s="4">
        <v>4.5794499999999997E-3</v>
      </c>
      <c r="I12" s="4">
        <v>4.5794499999999997E-3</v>
      </c>
      <c r="J12" s="7">
        <f t="shared" si="5"/>
        <v>0</v>
      </c>
      <c r="K12" s="7">
        <f t="shared" si="6"/>
        <v>120788524</v>
      </c>
      <c r="L12" s="7">
        <f t="shared" si="16"/>
        <v>120788524</v>
      </c>
      <c r="M12" s="7"/>
      <c r="N12" s="7">
        <f t="shared" si="7"/>
        <v>0</v>
      </c>
      <c r="O12" s="32">
        <f t="shared" si="8"/>
        <v>0</v>
      </c>
      <c r="P12" s="32"/>
      <c r="Q12" s="32">
        <f t="shared" si="9"/>
        <v>8598291</v>
      </c>
      <c r="R12" s="32">
        <f t="shared" si="17"/>
        <v>8598291</v>
      </c>
      <c r="S12" s="32">
        <f t="shared" si="18"/>
        <v>0</v>
      </c>
      <c r="T12" s="32">
        <f t="shared" si="10"/>
        <v>0</v>
      </c>
      <c r="U12" s="32">
        <f t="shared" si="11"/>
        <v>0</v>
      </c>
      <c r="V12" s="32">
        <f t="shared" si="11"/>
        <v>0</v>
      </c>
      <c r="W12" s="32">
        <f t="shared" si="11"/>
        <v>0</v>
      </c>
      <c r="X12" s="32">
        <f t="shared" si="19"/>
        <v>0</v>
      </c>
      <c r="Y12" s="32"/>
      <c r="Z12" s="32">
        <f t="shared" si="11"/>
        <v>0</v>
      </c>
      <c r="AA12" s="32">
        <f t="shared" si="11"/>
        <v>0</v>
      </c>
      <c r="AB12" s="32">
        <f t="shared" si="11"/>
        <v>0</v>
      </c>
      <c r="AC12" s="32">
        <f t="shared" si="20"/>
        <v>0</v>
      </c>
      <c r="AD12" s="32"/>
      <c r="AE12" s="32">
        <f t="shared" si="11"/>
        <v>0</v>
      </c>
      <c r="AF12" s="32">
        <f t="shared" si="11"/>
        <v>0</v>
      </c>
      <c r="AG12" s="32">
        <f t="shared" si="11"/>
        <v>0</v>
      </c>
      <c r="AH12" s="32">
        <f t="shared" si="11"/>
        <v>0</v>
      </c>
      <c r="AI12" s="32">
        <f t="shared" si="11"/>
        <v>0</v>
      </c>
      <c r="AJ12" s="32">
        <f t="shared" si="11"/>
        <v>0</v>
      </c>
      <c r="AK12" s="7">
        <v>0</v>
      </c>
      <c r="AL12" s="32">
        <v>0</v>
      </c>
      <c r="AM12" s="32"/>
      <c r="AN12" s="4">
        <v>0</v>
      </c>
      <c r="AO12" s="32">
        <f t="shared" si="21"/>
        <v>0</v>
      </c>
      <c r="AP12" s="32">
        <f t="shared" si="22"/>
        <v>0</v>
      </c>
      <c r="AS12" s="32">
        <f t="shared" si="23"/>
        <v>0</v>
      </c>
      <c r="AT12" s="32">
        <f t="shared" si="13"/>
        <v>0</v>
      </c>
      <c r="AU12" s="32">
        <f t="shared" si="24"/>
        <v>0</v>
      </c>
      <c r="AV12" s="4">
        <f t="shared" si="25"/>
        <v>0</v>
      </c>
      <c r="AW12" s="32">
        <f t="shared" si="26"/>
        <v>0</v>
      </c>
      <c r="AX12" s="4">
        <f t="shared" si="27"/>
        <v>0</v>
      </c>
      <c r="AY12" s="32">
        <f t="shared" si="28"/>
        <v>0</v>
      </c>
      <c r="AZ12" s="4">
        <f t="shared" si="29"/>
        <v>0</v>
      </c>
      <c r="BA12" s="32">
        <f t="shared" si="30"/>
        <v>0</v>
      </c>
      <c r="BB12" s="32">
        <f t="shared" si="14"/>
        <v>0</v>
      </c>
      <c r="BC12" s="32">
        <f t="shared" si="31"/>
        <v>0</v>
      </c>
      <c r="BD12" s="32">
        <f t="shared" si="32"/>
        <v>0</v>
      </c>
      <c r="BF12" s="32">
        <f t="shared" si="33"/>
        <v>0</v>
      </c>
      <c r="BG12" s="32">
        <f t="shared" si="15"/>
        <v>0</v>
      </c>
      <c r="BH12" s="32">
        <f t="shared" si="34"/>
        <v>0</v>
      </c>
      <c r="BI12" s="4">
        <f t="shared" si="35"/>
        <v>0</v>
      </c>
      <c r="BJ12" s="32">
        <f t="shared" si="36"/>
        <v>0</v>
      </c>
      <c r="BK12" s="4">
        <f t="shared" si="37"/>
        <v>0</v>
      </c>
      <c r="BL12" s="32">
        <f t="shared" si="38"/>
        <v>0</v>
      </c>
      <c r="BM12" s="4">
        <f t="shared" si="39"/>
        <v>0</v>
      </c>
      <c r="BN12" s="32">
        <f t="shared" si="40"/>
        <v>0</v>
      </c>
      <c r="BO12" s="4">
        <f t="shared" si="41"/>
        <v>0</v>
      </c>
      <c r="BP12" s="32">
        <f t="shared" si="42"/>
        <v>0</v>
      </c>
      <c r="BQ12" s="32">
        <f t="shared" si="43"/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</row>
    <row r="13" spans="1:121" x14ac:dyDescent="0.35">
      <c r="A13" s="84">
        <f>'2017 Prop share of contribs'!A9</f>
        <v>4</v>
      </c>
      <c r="B13" s="84" t="str">
        <f>'2017 Prop share of contribs'!B9</f>
        <v xml:space="preserve">BALLARD COUNTY SCHOOLS  </v>
      </c>
      <c r="C13" s="25" t="s">
        <v>124</v>
      </c>
      <c r="D13" s="33">
        <f>ROUND('Employer Allocations'!G52,8)</f>
        <v>0</v>
      </c>
      <c r="E13" s="4">
        <f>ROUND('Employer Allocations'!H52,8)</f>
        <v>1.7108799999999999E-3</v>
      </c>
      <c r="F13" s="4">
        <f>ROUND('Employer Allocations'!I52,8)</f>
        <v>1.7108799999999999E-3</v>
      </c>
      <c r="G13" s="4">
        <v>0</v>
      </c>
      <c r="H13" s="4">
        <v>1.7474999999999999E-3</v>
      </c>
      <c r="I13" s="4">
        <v>1.7474999999999999E-3</v>
      </c>
      <c r="J13" s="7">
        <f t="shared" si="5"/>
        <v>0</v>
      </c>
      <c r="K13" s="7">
        <f t="shared" si="6"/>
        <v>46164237</v>
      </c>
      <c r="L13" s="7">
        <f t="shared" si="16"/>
        <v>46164237</v>
      </c>
      <c r="M13" s="7"/>
      <c r="N13" s="7">
        <f t="shared" si="7"/>
        <v>0</v>
      </c>
      <c r="O13" s="32">
        <f t="shared" si="8"/>
        <v>0</v>
      </c>
      <c r="P13" s="32"/>
      <c r="Q13" s="32">
        <f t="shared" si="9"/>
        <v>3286186</v>
      </c>
      <c r="R13" s="32">
        <f t="shared" si="17"/>
        <v>3286186</v>
      </c>
      <c r="S13" s="32">
        <f t="shared" si="18"/>
        <v>0</v>
      </c>
      <c r="T13" s="32">
        <f t="shared" si="10"/>
        <v>0</v>
      </c>
      <c r="U13" s="32">
        <f t="shared" si="11"/>
        <v>0</v>
      </c>
      <c r="V13" s="32">
        <f t="shared" si="11"/>
        <v>0</v>
      </c>
      <c r="W13" s="32">
        <f t="shared" si="11"/>
        <v>0</v>
      </c>
      <c r="X13" s="32">
        <f t="shared" si="19"/>
        <v>0</v>
      </c>
      <c r="Y13" s="32"/>
      <c r="Z13" s="32">
        <f t="shared" si="11"/>
        <v>0</v>
      </c>
      <c r="AA13" s="32">
        <f t="shared" si="11"/>
        <v>0</v>
      </c>
      <c r="AB13" s="32">
        <f t="shared" si="11"/>
        <v>0</v>
      </c>
      <c r="AC13" s="32">
        <f t="shared" si="20"/>
        <v>0</v>
      </c>
      <c r="AD13" s="32"/>
      <c r="AE13" s="32">
        <f t="shared" si="11"/>
        <v>0</v>
      </c>
      <c r="AF13" s="32">
        <f t="shared" si="11"/>
        <v>0</v>
      </c>
      <c r="AG13" s="32">
        <f t="shared" si="11"/>
        <v>0</v>
      </c>
      <c r="AH13" s="32">
        <f t="shared" si="11"/>
        <v>0</v>
      </c>
      <c r="AI13" s="32">
        <f t="shared" si="11"/>
        <v>0</v>
      </c>
      <c r="AJ13" s="32">
        <f t="shared" si="11"/>
        <v>0</v>
      </c>
      <c r="AK13" s="7">
        <v>0</v>
      </c>
      <c r="AL13" s="32">
        <v>0</v>
      </c>
      <c r="AM13" s="32"/>
      <c r="AN13" s="4">
        <v>0</v>
      </c>
      <c r="AO13" s="32">
        <f t="shared" si="21"/>
        <v>0</v>
      </c>
      <c r="AP13" s="32">
        <f t="shared" si="22"/>
        <v>0</v>
      </c>
      <c r="AS13" s="32">
        <f t="shared" si="23"/>
        <v>0</v>
      </c>
      <c r="AT13" s="32">
        <f t="shared" si="13"/>
        <v>0</v>
      </c>
      <c r="AU13" s="32">
        <f t="shared" si="24"/>
        <v>0</v>
      </c>
      <c r="AV13" s="4">
        <f t="shared" si="25"/>
        <v>0</v>
      </c>
      <c r="AW13" s="32">
        <f t="shared" si="26"/>
        <v>0</v>
      </c>
      <c r="AX13" s="4">
        <f t="shared" si="27"/>
        <v>0</v>
      </c>
      <c r="AY13" s="32">
        <f t="shared" si="28"/>
        <v>0</v>
      </c>
      <c r="AZ13" s="4">
        <f t="shared" si="29"/>
        <v>0</v>
      </c>
      <c r="BA13" s="32">
        <f t="shared" si="30"/>
        <v>0</v>
      </c>
      <c r="BB13" s="32">
        <f t="shared" si="14"/>
        <v>0</v>
      </c>
      <c r="BC13" s="32">
        <f t="shared" si="31"/>
        <v>0</v>
      </c>
      <c r="BD13" s="32">
        <f t="shared" si="32"/>
        <v>0</v>
      </c>
      <c r="BF13" s="32">
        <f t="shared" si="33"/>
        <v>0</v>
      </c>
      <c r="BG13" s="32">
        <f t="shared" si="15"/>
        <v>0</v>
      </c>
      <c r="BH13" s="32">
        <f t="shared" si="34"/>
        <v>0</v>
      </c>
      <c r="BI13" s="4">
        <f t="shared" si="35"/>
        <v>0</v>
      </c>
      <c r="BJ13" s="32">
        <f t="shared" si="36"/>
        <v>0</v>
      </c>
      <c r="BK13" s="4">
        <f t="shared" si="37"/>
        <v>0</v>
      </c>
      <c r="BL13" s="32">
        <f t="shared" si="38"/>
        <v>0</v>
      </c>
      <c r="BM13" s="4">
        <f t="shared" si="39"/>
        <v>0</v>
      </c>
      <c r="BN13" s="32">
        <f t="shared" si="40"/>
        <v>0</v>
      </c>
      <c r="BO13" s="4">
        <f t="shared" si="41"/>
        <v>0</v>
      </c>
      <c r="BP13" s="32">
        <f t="shared" si="42"/>
        <v>0</v>
      </c>
      <c r="BQ13" s="32">
        <f t="shared" si="43"/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4">
        <v>0</v>
      </c>
      <c r="DP13" s="4">
        <v>0</v>
      </c>
      <c r="DQ13" s="4">
        <v>0</v>
      </c>
    </row>
    <row r="14" spans="1:121" x14ac:dyDescent="0.35">
      <c r="A14" s="84">
        <f>'2017 Prop share of contribs'!A10</f>
        <v>5</v>
      </c>
      <c r="B14" s="84" t="str">
        <f>'2017 Prop share of contribs'!B10</f>
        <v xml:space="preserve">BARREN COUNTY SCHOOLS  </v>
      </c>
      <c r="C14" s="25" t="s">
        <v>125</v>
      </c>
      <c r="D14" s="33">
        <f>ROUND('Employer Allocations'!G53,8)</f>
        <v>0</v>
      </c>
      <c r="E14" s="4">
        <f>ROUND('Employer Allocations'!H53,8)</f>
        <v>6.5419299999999996E-3</v>
      </c>
      <c r="F14" s="4">
        <f>ROUND('Employer Allocations'!I53,8)</f>
        <v>6.5419299999999996E-3</v>
      </c>
      <c r="G14" s="4">
        <v>0</v>
      </c>
      <c r="H14" s="4">
        <v>6.46636E-3</v>
      </c>
      <c r="I14" s="4">
        <v>6.46636E-3</v>
      </c>
      <c r="J14" s="7">
        <f t="shared" si="5"/>
        <v>0</v>
      </c>
      <c r="K14" s="7">
        <f t="shared" si="6"/>
        <v>176519224</v>
      </c>
      <c r="L14" s="7">
        <f t="shared" si="16"/>
        <v>176519224</v>
      </c>
      <c r="M14" s="7"/>
      <c r="N14" s="7">
        <f t="shared" si="7"/>
        <v>0</v>
      </c>
      <c r="O14" s="32">
        <f t="shared" si="8"/>
        <v>0</v>
      </c>
      <c r="P14" s="32"/>
      <c r="Q14" s="32">
        <f t="shared" si="9"/>
        <v>12565462</v>
      </c>
      <c r="R14" s="32">
        <f t="shared" si="17"/>
        <v>12565462</v>
      </c>
      <c r="S14" s="32">
        <f t="shared" si="18"/>
        <v>0</v>
      </c>
      <c r="T14" s="32">
        <f t="shared" si="10"/>
        <v>0</v>
      </c>
      <c r="U14" s="32">
        <f t="shared" si="11"/>
        <v>0</v>
      </c>
      <c r="V14" s="32">
        <f t="shared" si="11"/>
        <v>0</v>
      </c>
      <c r="W14" s="32">
        <f t="shared" si="11"/>
        <v>0</v>
      </c>
      <c r="X14" s="32">
        <f t="shared" si="19"/>
        <v>0</v>
      </c>
      <c r="Y14" s="32"/>
      <c r="Z14" s="32">
        <f t="shared" si="11"/>
        <v>0</v>
      </c>
      <c r="AA14" s="32">
        <f t="shared" si="11"/>
        <v>0</v>
      </c>
      <c r="AB14" s="32">
        <f t="shared" si="11"/>
        <v>0</v>
      </c>
      <c r="AC14" s="32">
        <f t="shared" si="20"/>
        <v>0</v>
      </c>
      <c r="AD14" s="32"/>
      <c r="AE14" s="32">
        <f t="shared" si="11"/>
        <v>0</v>
      </c>
      <c r="AF14" s="32">
        <f t="shared" si="11"/>
        <v>0</v>
      </c>
      <c r="AG14" s="32">
        <f t="shared" si="11"/>
        <v>0</v>
      </c>
      <c r="AH14" s="32">
        <f t="shared" si="11"/>
        <v>0</v>
      </c>
      <c r="AI14" s="32">
        <f t="shared" si="11"/>
        <v>0</v>
      </c>
      <c r="AJ14" s="32">
        <f t="shared" si="11"/>
        <v>0</v>
      </c>
      <c r="AK14" s="7">
        <v>0</v>
      </c>
      <c r="AL14" s="32">
        <v>0</v>
      </c>
      <c r="AM14" s="32"/>
      <c r="AN14" s="4">
        <v>0</v>
      </c>
      <c r="AO14" s="32">
        <f t="shared" si="21"/>
        <v>0</v>
      </c>
      <c r="AP14" s="32">
        <f t="shared" si="22"/>
        <v>0</v>
      </c>
      <c r="AS14" s="32">
        <f t="shared" si="23"/>
        <v>0</v>
      </c>
      <c r="AT14" s="32">
        <f t="shared" si="13"/>
        <v>0</v>
      </c>
      <c r="AU14" s="32">
        <f t="shared" si="24"/>
        <v>0</v>
      </c>
      <c r="AV14" s="4">
        <f t="shared" si="25"/>
        <v>0</v>
      </c>
      <c r="AW14" s="32">
        <f t="shared" si="26"/>
        <v>0</v>
      </c>
      <c r="AX14" s="4">
        <f t="shared" si="27"/>
        <v>0</v>
      </c>
      <c r="AY14" s="32">
        <f t="shared" si="28"/>
        <v>0</v>
      </c>
      <c r="AZ14" s="4">
        <f t="shared" si="29"/>
        <v>0</v>
      </c>
      <c r="BA14" s="32">
        <f t="shared" si="30"/>
        <v>0</v>
      </c>
      <c r="BB14" s="32">
        <f t="shared" si="14"/>
        <v>0</v>
      </c>
      <c r="BC14" s="32">
        <f t="shared" si="31"/>
        <v>0</v>
      </c>
      <c r="BD14" s="32">
        <f t="shared" si="32"/>
        <v>0</v>
      </c>
      <c r="BF14" s="32">
        <f t="shared" si="33"/>
        <v>0</v>
      </c>
      <c r="BG14" s="32">
        <f t="shared" si="15"/>
        <v>0</v>
      </c>
      <c r="BH14" s="32">
        <f t="shared" si="34"/>
        <v>0</v>
      </c>
      <c r="BI14" s="4">
        <f t="shared" si="35"/>
        <v>0</v>
      </c>
      <c r="BJ14" s="32">
        <f t="shared" si="36"/>
        <v>0</v>
      </c>
      <c r="BK14" s="4">
        <f t="shared" si="37"/>
        <v>0</v>
      </c>
      <c r="BL14" s="32">
        <f t="shared" si="38"/>
        <v>0</v>
      </c>
      <c r="BM14" s="4">
        <f t="shared" si="39"/>
        <v>0</v>
      </c>
      <c r="BN14" s="32">
        <f t="shared" si="40"/>
        <v>0</v>
      </c>
      <c r="BO14" s="4">
        <f t="shared" si="41"/>
        <v>0</v>
      </c>
      <c r="BP14" s="32">
        <f t="shared" si="42"/>
        <v>0</v>
      </c>
      <c r="BQ14" s="32">
        <f t="shared" si="43"/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4">
        <v>0</v>
      </c>
      <c r="DP14" s="4">
        <v>0</v>
      </c>
      <c r="DQ14" s="4">
        <v>0</v>
      </c>
    </row>
    <row r="15" spans="1:121" x14ac:dyDescent="0.35">
      <c r="A15" s="84">
        <f>'2017 Prop share of contribs'!A11</f>
        <v>6</v>
      </c>
      <c r="B15" s="84" t="str">
        <f>'2017 Prop share of contribs'!B11</f>
        <v xml:space="preserve">BATH COUNTY SCHOOLS  </v>
      </c>
      <c r="C15" s="25" t="s">
        <v>126</v>
      </c>
      <c r="D15" s="33">
        <f>ROUND('Employer Allocations'!G54,8)</f>
        <v>0</v>
      </c>
      <c r="E15" s="4">
        <f>ROUND('Employer Allocations'!H54,8)</f>
        <v>2.7265499999999999E-3</v>
      </c>
      <c r="F15" s="4">
        <f>ROUND('Employer Allocations'!I54,8)</f>
        <v>2.7265499999999999E-3</v>
      </c>
      <c r="G15" s="4">
        <v>0</v>
      </c>
      <c r="H15" s="4">
        <v>2.7223199999999999E-3</v>
      </c>
      <c r="I15" s="4">
        <v>2.7223199999999999E-3</v>
      </c>
      <c r="J15" s="7">
        <f t="shared" si="5"/>
        <v>0</v>
      </c>
      <c r="K15" s="7">
        <f t="shared" si="6"/>
        <v>73569801</v>
      </c>
      <c r="L15" s="7">
        <f t="shared" si="16"/>
        <v>73569801</v>
      </c>
      <c r="M15" s="7"/>
      <c r="N15" s="7">
        <f t="shared" si="7"/>
        <v>0</v>
      </c>
      <c r="O15" s="32">
        <f t="shared" si="8"/>
        <v>0</v>
      </c>
      <c r="P15" s="32"/>
      <c r="Q15" s="32">
        <f t="shared" si="9"/>
        <v>5237042</v>
      </c>
      <c r="R15" s="32">
        <f t="shared" si="17"/>
        <v>5237042</v>
      </c>
      <c r="S15" s="32">
        <f t="shared" si="18"/>
        <v>0</v>
      </c>
      <c r="T15" s="32">
        <f t="shared" si="10"/>
        <v>0</v>
      </c>
      <c r="U15" s="32">
        <f t="shared" si="11"/>
        <v>0</v>
      </c>
      <c r="V15" s="32">
        <f t="shared" si="11"/>
        <v>0</v>
      </c>
      <c r="W15" s="32">
        <f t="shared" si="11"/>
        <v>0</v>
      </c>
      <c r="X15" s="32">
        <f t="shared" si="19"/>
        <v>0</v>
      </c>
      <c r="Y15" s="32"/>
      <c r="Z15" s="32">
        <f t="shared" si="11"/>
        <v>0</v>
      </c>
      <c r="AA15" s="32">
        <f t="shared" si="11"/>
        <v>0</v>
      </c>
      <c r="AB15" s="32">
        <f t="shared" si="11"/>
        <v>0</v>
      </c>
      <c r="AC15" s="32">
        <f t="shared" si="20"/>
        <v>0</v>
      </c>
      <c r="AD15" s="32"/>
      <c r="AE15" s="32">
        <f t="shared" si="11"/>
        <v>0</v>
      </c>
      <c r="AF15" s="32">
        <f t="shared" si="11"/>
        <v>0</v>
      </c>
      <c r="AG15" s="32">
        <f t="shared" si="11"/>
        <v>0</v>
      </c>
      <c r="AH15" s="32">
        <f t="shared" si="11"/>
        <v>0</v>
      </c>
      <c r="AI15" s="32">
        <f t="shared" si="11"/>
        <v>0</v>
      </c>
      <c r="AJ15" s="32">
        <f t="shared" si="11"/>
        <v>0</v>
      </c>
      <c r="AK15" s="7">
        <v>0</v>
      </c>
      <c r="AL15" s="32">
        <v>0</v>
      </c>
      <c r="AM15" s="32"/>
      <c r="AN15" s="4">
        <v>0</v>
      </c>
      <c r="AO15" s="32">
        <f t="shared" si="21"/>
        <v>0</v>
      </c>
      <c r="AP15" s="32">
        <f t="shared" si="22"/>
        <v>0</v>
      </c>
      <c r="AS15" s="32">
        <f t="shared" si="23"/>
        <v>0</v>
      </c>
      <c r="AT15" s="32">
        <f t="shared" si="13"/>
        <v>0</v>
      </c>
      <c r="AU15" s="32">
        <f t="shared" si="24"/>
        <v>0</v>
      </c>
      <c r="AV15" s="4">
        <f t="shared" si="25"/>
        <v>0</v>
      </c>
      <c r="AW15" s="32">
        <f t="shared" si="26"/>
        <v>0</v>
      </c>
      <c r="AX15" s="4">
        <f t="shared" si="27"/>
        <v>0</v>
      </c>
      <c r="AY15" s="32">
        <f t="shared" si="28"/>
        <v>0</v>
      </c>
      <c r="AZ15" s="4">
        <f t="shared" si="29"/>
        <v>0</v>
      </c>
      <c r="BA15" s="32">
        <f t="shared" si="30"/>
        <v>0</v>
      </c>
      <c r="BB15" s="32">
        <f t="shared" si="14"/>
        <v>0</v>
      </c>
      <c r="BC15" s="32">
        <f t="shared" si="31"/>
        <v>0</v>
      </c>
      <c r="BD15" s="32">
        <f t="shared" si="32"/>
        <v>0</v>
      </c>
      <c r="BF15" s="32">
        <f t="shared" si="33"/>
        <v>0</v>
      </c>
      <c r="BG15" s="32">
        <f t="shared" si="15"/>
        <v>0</v>
      </c>
      <c r="BH15" s="32">
        <f t="shared" si="34"/>
        <v>0</v>
      </c>
      <c r="BI15" s="4">
        <f t="shared" si="35"/>
        <v>0</v>
      </c>
      <c r="BJ15" s="32">
        <f t="shared" si="36"/>
        <v>0</v>
      </c>
      <c r="BK15" s="4">
        <f t="shared" si="37"/>
        <v>0</v>
      </c>
      <c r="BL15" s="32">
        <f t="shared" si="38"/>
        <v>0</v>
      </c>
      <c r="BM15" s="4">
        <f t="shared" si="39"/>
        <v>0</v>
      </c>
      <c r="BN15" s="32">
        <f t="shared" si="40"/>
        <v>0</v>
      </c>
      <c r="BO15" s="4">
        <f t="shared" si="41"/>
        <v>0</v>
      </c>
      <c r="BP15" s="32">
        <f t="shared" si="42"/>
        <v>0</v>
      </c>
      <c r="BQ15" s="32">
        <f t="shared" si="43"/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</row>
    <row r="16" spans="1:121" x14ac:dyDescent="0.35">
      <c r="A16" s="84">
        <f>'2017 Prop share of contribs'!A12</f>
        <v>7</v>
      </c>
      <c r="B16" s="84" t="str">
        <f>'2017 Prop share of contribs'!B12</f>
        <v xml:space="preserve">BELL COUNTY SCHOOLS  </v>
      </c>
      <c r="C16" s="25" t="s">
        <v>127</v>
      </c>
      <c r="D16" s="33">
        <f>ROUND('Employer Allocations'!G55,8)</f>
        <v>0</v>
      </c>
      <c r="E16" s="4">
        <f>ROUND('Employer Allocations'!H55,8)</f>
        <v>3.37309E-3</v>
      </c>
      <c r="F16" s="4">
        <f>ROUND('Employer Allocations'!I55,8)</f>
        <v>3.37309E-3</v>
      </c>
      <c r="G16" s="4">
        <v>0</v>
      </c>
      <c r="H16" s="4">
        <v>3.5048800000000001E-3</v>
      </c>
      <c r="I16" s="4">
        <v>3.5048800000000001E-3</v>
      </c>
      <c r="J16" s="7">
        <f t="shared" si="5"/>
        <v>0</v>
      </c>
      <c r="K16" s="7">
        <f t="shared" si="6"/>
        <v>91015225</v>
      </c>
      <c r="L16" s="7">
        <f t="shared" si="16"/>
        <v>91015225</v>
      </c>
      <c r="M16" s="7"/>
      <c r="N16" s="7">
        <f t="shared" si="7"/>
        <v>0</v>
      </c>
      <c r="O16" s="32">
        <f t="shared" si="8"/>
        <v>0</v>
      </c>
      <c r="P16" s="32"/>
      <c r="Q16" s="32">
        <f t="shared" si="9"/>
        <v>6478888</v>
      </c>
      <c r="R16" s="32">
        <f t="shared" si="17"/>
        <v>6478888</v>
      </c>
      <c r="S16" s="32">
        <f t="shared" si="18"/>
        <v>0</v>
      </c>
      <c r="T16" s="32">
        <f t="shared" si="10"/>
        <v>0</v>
      </c>
      <c r="U16" s="32">
        <f t="shared" si="11"/>
        <v>0</v>
      </c>
      <c r="V16" s="32">
        <f t="shared" si="11"/>
        <v>0</v>
      </c>
      <c r="W16" s="32">
        <f t="shared" si="11"/>
        <v>0</v>
      </c>
      <c r="X16" s="32">
        <f t="shared" si="19"/>
        <v>0</v>
      </c>
      <c r="Y16" s="32"/>
      <c r="Z16" s="32">
        <f t="shared" si="11"/>
        <v>0</v>
      </c>
      <c r="AA16" s="32">
        <f t="shared" si="11"/>
        <v>0</v>
      </c>
      <c r="AB16" s="32">
        <f t="shared" si="11"/>
        <v>0</v>
      </c>
      <c r="AC16" s="32">
        <f t="shared" si="20"/>
        <v>0</v>
      </c>
      <c r="AD16" s="32"/>
      <c r="AE16" s="32">
        <f t="shared" si="11"/>
        <v>0</v>
      </c>
      <c r="AF16" s="32">
        <f t="shared" si="11"/>
        <v>0</v>
      </c>
      <c r="AG16" s="32">
        <f t="shared" si="11"/>
        <v>0</v>
      </c>
      <c r="AH16" s="32">
        <f t="shared" si="11"/>
        <v>0</v>
      </c>
      <c r="AI16" s="32">
        <f t="shared" si="11"/>
        <v>0</v>
      </c>
      <c r="AJ16" s="32">
        <f t="shared" si="11"/>
        <v>0</v>
      </c>
      <c r="AK16" s="7">
        <v>0</v>
      </c>
      <c r="AL16" s="32">
        <v>0</v>
      </c>
      <c r="AM16" s="32"/>
      <c r="AN16" s="4">
        <v>0</v>
      </c>
      <c r="AO16" s="32">
        <f t="shared" si="21"/>
        <v>0</v>
      </c>
      <c r="AP16" s="32">
        <f t="shared" si="22"/>
        <v>0</v>
      </c>
      <c r="AS16" s="32">
        <f t="shared" si="23"/>
        <v>0</v>
      </c>
      <c r="AT16" s="32">
        <f t="shared" si="13"/>
        <v>0</v>
      </c>
      <c r="AU16" s="32">
        <f t="shared" si="24"/>
        <v>0</v>
      </c>
      <c r="AV16" s="4">
        <f t="shared" si="25"/>
        <v>0</v>
      </c>
      <c r="AW16" s="32">
        <f t="shared" si="26"/>
        <v>0</v>
      </c>
      <c r="AX16" s="4">
        <f t="shared" si="27"/>
        <v>0</v>
      </c>
      <c r="AY16" s="32">
        <f t="shared" si="28"/>
        <v>0</v>
      </c>
      <c r="AZ16" s="4">
        <f t="shared" si="29"/>
        <v>0</v>
      </c>
      <c r="BA16" s="32">
        <f t="shared" si="30"/>
        <v>0</v>
      </c>
      <c r="BB16" s="32">
        <f t="shared" si="14"/>
        <v>0</v>
      </c>
      <c r="BC16" s="32">
        <f t="shared" si="31"/>
        <v>0</v>
      </c>
      <c r="BD16" s="32">
        <f t="shared" si="32"/>
        <v>0</v>
      </c>
      <c r="BF16" s="32">
        <f t="shared" si="33"/>
        <v>0</v>
      </c>
      <c r="BG16" s="32">
        <f t="shared" si="15"/>
        <v>0</v>
      </c>
      <c r="BH16" s="32">
        <f t="shared" si="34"/>
        <v>0</v>
      </c>
      <c r="BI16" s="4">
        <f t="shared" si="35"/>
        <v>0</v>
      </c>
      <c r="BJ16" s="32">
        <f t="shared" si="36"/>
        <v>0</v>
      </c>
      <c r="BK16" s="4">
        <f t="shared" si="37"/>
        <v>0</v>
      </c>
      <c r="BL16" s="32">
        <f t="shared" si="38"/>
        <v>0</v>
      </c>
      <c r="BM16" s="4">
        <f t="shared" si="39"/>
        <v>0</v>
      </c>
      <c r="BN16" s="32">
        <f t="shared" si="40"/>
        <v>0</v>
      </c>
      <c r="BO16" s="4">
        <f t="shared" si="41"/>
        <v>0</v>
      </c>
      <c r="BP16" s="32">
        <f t="shared" si="42"/>
        <v>0</v>
      </c>
      <c r="BQ16" s="32">
        <f t="shared" si="43"/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</row>
    <row r="17" spans="1:121" x14ac:dyDescent="0.35">
      <c r="A17" s="84">
        <f>'2017 Prop share of contribs'!A13</f>
        <v>8</v>
      </c>
      <c r="B17" s="84" t="str">
        <f>'2017 Prop share of contribs'!B13</f>
        <v xml:space="preserve">BOONE COUNTY SCHOOLS  </v>
      </c>
      <c r="C17" s="25" t="s">
        <v>128</v>
      </c>
      <c r="D17" s="33">
        <f>ROUND('Employer Allocations'!G56,8)</f>
        <v>0</v>
      </c>
      <c r="E17" s="4">
        <f>ROUND('Employer Allocations'!H56,8)</f>
        <v>3.0286919999999998E-2</v>
      </c>
      <c r="F17" s="4">
        <f>ROUND('Employer Allocations'!I56,8)</f>
        <v>3.0286919999999998E-2</v>
      </c>
      <c r="G17" s="4">
        <v>0</v>
      </c>
      <c r="H17" s="4">
        <v>2.9345840000000002E-2</v>
      </c>
      <c r="I17" s="4">
        <v>2.9345840000000002E-2</v>
      </c>
      <c r="J17" s="7">
        <f t="shared" si="5"/>
        <v>0</v>
      </c>
      <c r="K17" s="7">
        <f t="shared" si="6"/>
        <v>817224215</v>
      </c>
      <c r="L17" s="7">
        <f t="shared" si="16"/>
        <v>817224215</v>
      </c>
      <c r="M17" s="7"/>
      <c r="N17" s="7">
        <f t="shared" si="7"/>
        <v>0</v>
      </c>
      <c r="O17" s="32">
        <f t="shared" si="8"/>
        <v>0</v>
      </c>
      <c r="P17" s="32"/>
      <c r="Q17" s="32">
        <f t="shared" si="9"/>
        <v>58173833</v>
      </c>
      <c r="R17" s="32">
        <f t="shared" si="17"/>
        <v>58173833</v>
      </c>
      <c r="S17" s="32">
        <f t="shared" si="18"/>
        <v>0</v>
      </c>
      <c r="T17" s="32">
        <f t="shared" si="10"/>
        <v>0</v>
      </c>
      <c r="U17" s="32">
        <f t="shared" si="11"/>
        <v>0</v>
      </c>
      <c r="V17" s="32">
        <f t="shared" si="11"/>
        <v>0</v>
      </c>
      <c r="W17" s="32">
        <f t="shared" si="11"/>
        <v>0</v>
      </c>
      <c r="X17" s="32">
        <f t="shared" si="19"/>
        <v>0</v>
      </c>
      <c r="Y17" s="32"/>
      <c r="Z17" s="32">
        <f t="shared" si="11"/>
        <v>0</v>
      </c>
      <c r="AA17" s="32">
        <f t="shared" si="11"/>
        <v>0</v>
      </c>
      <c r="AB17" s="32">
        <f t="shared" si="11"/>
        <v>0</v>
      </c>
      <c r="AC17" s="32">
        <f t="shared" si="20"/>
        <v>0</v>
      </c>
      <c r="AD17" s="32"/>
      <c r="AE17" s="32">
        <f t="shared" si="11"/>
        <v>0</v>
      </c>
      <c r="AF17" s="32">
        <f t="shared" si="11"/>
        <v>0</v>
      </c>
      <c r="AG17" s="32">
        <f t="shared" si="11"/>
        <v>0</v>
      </c>
      <c r="AH17" s="32">
        <f t="shared" si="11"/>
        <v>0</v>
      </c>
      <c r="AI17" s="32">
        <f t="shared" si="11"/>
        <v>0</v>
      </c>
      <c r="AJ17" s="32">
        <f t="shared" si="11"/>
        <v>0</v>
      </c>
      <c r="AK17" s="7">
        <v>0</v>
      </c>
      <c r="AL17" s="32">
        <v>0</v>
      </c>
      <c r="AM17" s="32"/>
      <c r="AN17" s="4">
        <v>0</v>
      </c>
      <c r="AO17" s="32">
        <f t="shared" si="21"/>
        <v>0</v>
      </c>
      <c r="AP17" s="32">
        <f t="shared" si="22"/>
        <v>0</v>
      </c>
      <c r="AS17" s="32">
        <f t="shared" si="23"/>
        <v>0</v>
      </c>
      <c r="AT17" s="32">
        <f t="shared" si="13"/>
        <v>0</v>
      </c>
      <c r="AU17" s="32">
        <f t="shared" si="24"/>
        <v>0</v>
      </c>
      <c r="AV17" s="4">
        <f t="shared" si="25"/>
        <v>0</v>
      </c>
      <c r="AW17" s="32">
        <f t="shared" si="26"/>
        <v>0</v>
      </c>
      <c r="AX17" s="4">
        <f t="shared" si="27"/>
        <v>0</v>
      </c>
      <c r="AY17" s="32">
        <f t="shared" si="28"/>
        <v>0</v>
      </c>
      <c r="AZ17" s="4">
        <f t="shared" si="29"/>
        <v>0</v>
      </c>
      <c r="BA17" s="32">
        <f t="shared" si="30"/>
        <v>0</v>
      </c>
      <c r="BB17" s="32">
        <f t="shared" si="14"/>
        <v>0</v>
      </c>
      <c r="BC17" s="32">
        <f t="shared" si="31"/>
        <v>0</v>
      </c>
      <c r="BD17" s="32">
        <f t="shared" si="32"/>
        <v>0</v>
      </c>
      <c r="BF17" s="32">
        <f t="shared" si="33"/>
        <v>0</v>
      </c>
      <c r="BG17" s="32">
        <f t="shared" si="15"/>
        <v>0</v>
      </c>
      <c r="BH17" s="32">
        <f t="shared" si="34"/>
        <v>0</v>
      </c>
      <c r="BI17" s="4">
        <f t="shared" si="35"/>
        <v>0</v>
      </c>
      <c r="BJ17" s="32">
        <f t="shared" si="36"/>
        <v>0</v>
      </c>
      <c r="BK17" s="4">
        <f t="shared" si="37"/>
        <v>0</v>
      </c>
      <c r="BL17" s="32">
        <f t="shared" si="38"/>
        <v>0</v>
      </c>
      <c r="BM17" s="4">
        <f t="shared" si="39"/>
        <v>0</v>
      </c>
      <c r="BN17" s="32">
        <f t="shared" si="40"/>
        <v>0</v>
      </c>
      <c r="BO17" s="4">
        <f t="shared" si="41"/>
        <v>0</v>
      </c>
      <c r="BP17" s="32">
        <f t="shared" si="42"/>
        <v>0</v>
      </c>
      <c r="BQ17" s="32">
        <f t="shared" si="43"/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0</v>
      </c>
    </row>
    <row r="18" spans="1:121" x14ac:dyDescent="0.35">
      <c r="A18" s="84">
        <f>'2017 Prop share of contribs'!A14</f>
        <v>9</v>
      </c>
      <c r="B18" s="84" t="str">
        <f>'2017 Prop share of contribs'!B14</f>
        <v xml:space="preserve">BOURBON COUNTY SCHOOLS  </v>
      </c>
      <c r="C18" s="25" t="s">
        <v>129</v>
      </c>
      <c r="D18" s="33">
        <f>ROUND('Employer Allocations'!G57,8)</f>
        <v>0</v>
      </c>
      <c r="E18" s="4">
        <f>ROUND('Employer Allocations'!H57,8)</f>
        <v>3.6997100000000002E-3</v>
      </c>
      <c r="F18" s="4">
        <f>ROUND('Employer Allocations'!I57,8)</f>
        <v>3.6997100000000002E-3</v>
      </c>
      <c r="G18" s="4">
        <v>0</v>
      </c>
      <c r="H18" s="4">
        <v>3.6958400000000001E-3</v>
      </c>
      <c r="I18" s="4">
        <v>3.6958400000000001E-3</v>
      </c>
      <c r="J18" s="7">
        <f t="shared" si="5"/>
        <v>0</v>
      </c>
      <c r="K18" s="7">
        <f t="shared" si="6"/>
        <v>99828329</v>
      </c>
      <c r="L18" s="7">
        <f t="shared" si="16"/>
        <v>99828329</v>
      </c>
      <c r="M18" s="7"/>
      <c r="N18" s="7">
        <f t="shared" si="7"/>
        <v>0</v>
      </c>
      <c r="O18" s="32">
        <f t="shared" si="8"/>
        <v>0</v>
      </c>
      <c r="P18" s="32"/>
      <c r="Q18" s="32">
        <f t="shared" si="9"/>
        <v>7106246</v>
      </c>
      <c r="R18" s="32">
        <f t="shared" si="17"/>
        <v>7106246</v>
      </c>
      <c r="S18" s="32">
        <f t="shared" si="18"/>
        <v>0</v>
      </c>
      <c r="T18" s="32">
        <f t="shared" si="10"/>
        <v>0</v>
      </c>
      <c r="U18" s="32">
        <f t="shared" si="11"/>
        <v>0</v>
      </c>
      <c r="V18" s="32">
        <f t="shared" si="11"/>
        <v>0</v>
      </c>
      <c r="W18" s="32">
        <f t="shared" si="11"/>
        <v>0</v>
      </c>
      <c r="X18" s="32">
        <f t="shared" si="19"/>
        <v>0</v>
      </c>
      <c r="Y18" s="32"/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20"/>
        <v>0</v>
      </c>
      <c r="AD18" s="32"/>
      <c r="AE18" s="32">
        <f t="shared" si="11"/>
        <v>0</v>
      </c>
      <c r="AF18" s="32">
        <f t="shared" si="11"/>
        <v>0</v>
      </c>
      <c r="AG18" s="32">
        <f t="shared" si="11"/>
        <v>0</v>
      </c>
      <c r="AH18" s="32">
        <f t="shared" si="11"/>
        <v>0</v>
      </c>
      <c r="AI18" s="32">
        <f t="shared" si="11"/>
        <v>0</v>
      </c>
      <c r="AJ18" s="32">
        <f t="shared" si="11"/>
        <v>0</v>
      </c>
      <c r="AK18" s="7">
        <v>0</v>
      </c>
      <c r="AL18" s="32">
        <v>0</v>
      </c>
      <c r="AM18" s="32"/>
      <c r="AN18" s="4">
        <v>0</v>
      </c>
      <c r="AO18" s="32">
        <f t="shared" si="21"/>
        <v>0</v>
      </c>
      <c r="AP18" s="32">
        <f t="shared" si="22"/>
        <v>0</v>
      </c>
      <c r="AS18" s="32">
        <f t="shared" si="23"/>
        <v>0</v>
      </c>
      <c r="AT18" s="32">
        <f t="shared" si="13"/>
        <v>0</v>
      </c>
      <c r="AU18" s="32">
        <f t="shared" si="24"/>
        <v>0</v>
      </c>
      <c r="AV18" s="4">
        <f t="shared" si="25"/>
        <v>0</v>
      </c>
      <c r="AW18" s="32">
        <f t="shared" si="26"/>
        <v>0</v>
      </c>
      <c r="AX18" s="4">
        <f t="shared" si="27"/>
        <v>0</v>
      </c>
      <c r="AY18" s="32">
        <f t="shared" si="28"/>
        <v>0</v>
      </c>
      <c r="AZ18" s="4">
        <f t="shared" si="29"/>
        <v>0</v>
      </c>
      <c r="BA18" s="32">
        <f t="shared" si="30"/>
        <v>0</v>
      </c>
      <c r="BB18" s="32">
        <f t="shared" si="14"/>
        <v>0</v>
      </c>
      <c r="BC18" s="32">
        <f t="shared" si="31"/>
        <v>0</v>
      </c>
      <c r="BD18" s="32">
        <f t="shared" si="32"/>
        <v>0</v>
      </c>
      <c r="BF18" s="32">
        <f t="shared" si="33"/>
        <v>0</v>
      </c>
      <c r="BG18" s="32">
        <f t="shared" si="15"/>
        <v>0</v>
      </c>
      <c r="BH18" s="32">
        <f t="shared" si="34"/>
        <v>0</v>
      </c>
      <c r="BI18" s="4">
        <f t="shared" si="35"/>
        <v>0</v>
      </c>
      <c r="BJ18" s="32">
        <f t="shared" si="36"/>
        <v>0</v>
      </c>
      <c r="BK18" s="4">
        <f t="shared" si="37"/>
        <v>0</v>
      </c>
      <c r="BL18" s="32">
        <f t="shared" si="38"/>
        <v>0</v>
      </c>
      <c r="BM18" s="4">
        <f t="shared" si="39"/>
        <v>0</v>
      </c>
      <c r="BN18" s="32">
        <f t="shared" si="40"/>
        <v>0</v>
      </c>
      <c r="BO18" s="4">
        <f t="shared" si="41"/>
        <v>0</v>
      </c>
      <c r="BP18" s="32">
        <f t="shared" si="42"/>
        <v>0</v>
      </c>
      <c r="BQ18" s="32">
        <f t="shared" si="43"/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</row>
    <row r="19" spans="1:121" x14ac:dyDescent="0.35">
      <c r="A19" s="84">
        <f>'2017 Prop share of contribs'!A15</f>
        <v>10</v>
      </c>
      <c r="B19" s="84" t="str">
        <f>'2017 Prop share of contribs'!B15</f>
        <v xml:space="preserve">BOYD COUNTY SCHOOLS  </v>
      </c>
      <c r="C19" s="25" t="s">
        <v>130</v>
      </c>
      <c r="D19" s="33">
        <f>ROUND('Employer Allocations'!G58,8)</f>
        <v>0</v>
      </c>
      <c r="E19" s="4">
        <f>ROUND('Employer Allocations'!H58,8)</f>
        <v>4.3444800000000004E-3</v>
      </c>
      <c r="F19" s="4">
        <f>ROUND('Employer Allocations'!I58,8)</f>
        <v>4.3444800000000004E-3</v>
      </c>
      <c r="G19" s="4">
        <v>0</v>
      </c>
      <c r="H19" s="4">
        <v>4.4558000000000002E-3</v>
      </c>
      <c r="I19" s="4">
        <v>4.4558000000000002E-3</v>
      </c>
      <c r="J19" s="7">
        <f t="shared" si="5"/>
        <v>0</v>
      </c>
      <c r="K19" s="7">
        <f t="shared" si="6"/>
        <v>117225992</v>
      </c>
      <c r="L19" s="7">
        <f t="shared" si="16"/>
        <v>117225992</v>
      </c>
      <c r="M19" s="7"/>
      <c r="N19" s="7">
        <f t="shared" si="7"/>
        <v>0</v>
      </c>
      <c r="O19" s="32">
        <f t="shared" si="8"/>
        <v>0</v>
      </c>
      <c r="P19" s="32"/>
      <c r="Q19" s="32">
        <f t="shared" si="9"/>
        <v>8344693</v>
      </c>
      <c r="R19" s="32">
        <f t="shared" si="17"/>
        <v>8344693</v>
      </c>
      <c r="S19" s="32">
        <f t="shared" si="18"/>
        <v>0</v>
      </c>
      <c r="T19" s="32">
        <f t="shared" si="10"/>
        <v>0</v>
      </c>
      <c r="U19" s="32">
        <f t="shared" si="11"/>
        <v>0</v>
      </c>
      <c r="V19" s="32">
        <f t="shared" si="11"/>
        <v>0</v>
      </c>
      <c r="W19" s="32">
        <f t="shared" si="11"/>
        <v>0</v>
      </c>
      <c r="X19" s="32">
        <f t="shared" si="19"/>
        <v>0</v>
      </c>
      <c r="Y19" s="32"/>
      <c r="Z19" s="32">
        <f t="shared" si="11"/>
        <v>0</v>
      </c>
      <c r="AA19" s="32">
        <f t="shared" si="11"/>
        <v>0</v>
      </c>
      <c r="AB19" s="32">
        <f t="shared" si="11"/>
        <v>0</v>
      </c>
      <c r="AC19" s="32">
        <f t="shared" si="20"/>
        <v>0</v>
      </c>
      <c r="AD19" s="32"/>
      <c r="AE19" s="32">
        <f t="shared" si="11"/>
        <v>0</v>
      </c>
      <c r="AF19" s="32">
        <f t="shared" si="11"/>
        <v>0</v>
      </c>
      <c r="AG19" s="32">
        <f t="shared" si="11"/>
        <v>0</v>
      </c>
      <c r="AH19" s="32">
        <f t="shared" si="11"/>
        <v>0</v>
      </c>
      <c r="AI19" s="32">
        <f t="shared" si="11"/>
        <v>0</v>
      </c>
      <c r="AJ19" s="32">
        <f t="shared" si="11"/>
        <v>0</v>
      </c>
      <c r="AK19" s="7">
        <v>0</v>
      </c>
      <c r="AL19" s="32">
        <v>0</v>
      </c>
      <c r="AM19" s="32"/>
      <c r="AN19" s="4">
        <v>0</v>
      </c>
      <c r="AO19" s="32">
        <f t="shared" si="21"/>
        <v>0</v>
      </c>
      <c r="AP19" s="32">
        <f t="shared" si="22"/>
        <v>0</v>
      </c>
      <c r="AS19" s="32">
        <f t="shared" si="23"/>
        <v>0</v>
      </c>
      <c r="AT19" s="32">
        <f t="shared" si="13"/>
        <v>0</v>
      </c>
      <c r="AU19" s="32">
        <f t="shared" si="24"/>
        <v>0</v>
      </c>
      <c r="AV19" s="4">
        <f t="shared" si="25"/>
        <v>0</v>
      </c>
      <c r="AW19" s="32">
        <f t="shared" si="26"/>
        <v>0</v>
      </c>
      <c r="AX19" s="4">
        <f t="shared" si="27"/>
        <v>0</v>
      </c>
      <c r="AY19" s="32">
        <f t="shared" si="28"/>
        <v>0</v>
      </c>
      <c r="AZ19" s="4">
        <f t="shared" si="29"/>
        <v>0</v>
      </c>
      <c r="BA19" s="32">
        <f t="shared" si="30"/>
        <v>0</v>
      </c>
      <c r="BB19" s="32">
        <f t="shared" si="14"/>
        <v>0</v>
      </c>
      <c r="BC19" s="32">
        <f t="shared" si="31"/>
        <v>0</v>
      </c>
      <c r="BD19" s="32">
        <f t="shared" si="32"/>
        <v>0</v>
      </c>
      <c r="BF19" s="32">
        <f t="shared" si="33"/>
        <v>0</v>
      </c>
      <c r="BG19" s="32">
        <f t="shared" si="15"/>
        <v>0</v>
      </c>
      <c r="BH19" s="32">
        <f t="shared" si="34"/>
        <v>0</v>
      </c>
      <c r="BI19" s="4">
        <f t="shared" si="35"/>
        <v>0</v>
      </c>
      <c r="BJ19" s="32">
        <f t="shared" si="36"/>
        <v>0</v>
      </c>
      <c r="BK19" s="4">
        <f t="shared" si="37"/>
        <v>0</v>
      </c>
      <c r="BL19" s="32">
        <f t="shared" si="38"/>
        <v>0</v>
      </c>
      <c r="BM19" s="4">
        <f t="shared" si="39"/>
        <v>0</v>
      </c>
      <c r="BN19" s="32">
        <f t="shared" si="40"/>
        <v>0</v>
      </c>
      <c r="BO19" s="4">
        <f t="shared" si="41"/>
        <v>0</v>
      </c>
      <c r="BP19" s="32">
        <f t="shared" si="42"/>
        <v>0</v>
      </c>
      <c r="BQ19" s="32">
        <f t="shared" si="43"/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4">
        <v>0</v>
      </c>
      <c r="DP19" s="4">
        <v>0</v>
      </c>
      <c r="DQ19" s="4">
        <v>0</v>
      </c>
    </row>
    <row r="20" spans="1:121" x14ac:dyDescent="0.35">
      <c r="A20" s="84">
        <f>'2017 Prop share of contribs'!A16</f>
        <v>11</v>
      </c>
      <c r="B20" s="84" t="str">
        <f>'2017 Prop share of contribs'!B16</f>
        <v xml:space="preserve">BOYLE COUNTY SCHOOLS  </v>
      </c>
      <c r="C20" s="25" t="s">
        <v>131</v>
      </c>
      <c r="D20" s="33">
        <f>ROUND('Employer Allocations'!G59,8)</f>
        <v>0</v>
      </c>
      <c r="E20" s="4">
        <f>ROUND('Employer Allocations'!H59,8)</f>
        <v>4.1953900000000002E-3</v>
      </c>
      <c r="F20" s="4">
        <f>ROUND('Employer Allocations'!I59,8)</f>
        <v>4.1953900000000002E-3</v>
      </c>
      <c r="G20" s="4">
        <v>0</v>
      </c>
      <c r="H20" s="4">
        <v>4.1089200000000003E-3</v>
      </c>
      <c r="I20" s="4">
        <v>4.1089200000000003E-3</v>
      </c>
      <c r="J20" s="7">
        <f t="shared" si="5"/>
        <v>0</v>
      </c>
      <c r="K20" s="7">
        <f t="shared" si="6"/>
        <v>113203135</v>
      </c>
      <c r="L20" s="7">
        <f t="shared" si="16"/>
        <v>113203135</v>
      </c>
      <c r="M20" s="7"/>
      <c r="N20" s="7">
        <f t="shared" si="7"/>
        <v>0</v>
      </c>
      <c r="O20" s="32">
        <f t="shared" si="8"/>
        <v>0</v>
      </c>
      <c r="P20" s="32"/>
      <c r="Q20" s="32">
        <f t="shared" si="9"/>
        <v>8058327</v>
      </c>
      <c r="R20" s="32">
        <f t="shared" si="17"/>
        <v>8058327</v>
      </c>
      <c r="S20" s="32">
        <f t="shared" si="18"/>
        <v>0</v>
      </c>
      <c r="T20" s="32">
        <f t="shared" si="10"/>
        <v>0</v>
      </c>
      <c r="U20" s="32">
        <f t="shared" ref="U20:AJ35" si="44">ROUND(U$2*$D20,0)</f>
        <v>0</v>
      </c>
      <c r="V20" s="32">
        <f t="shared" si="44"/>
        <v>0</v>
      </c>
      <c r="W20" s="32">
        <f t="shared" si="44"/>
        <v>0</v>
      </c>
      <c r="X20" s="32">
        <f t="shared" si="19"/>
        <v>0</v>
      </c>
      <c r="Y20" s="32"/>
      <c r="Z20" s="32">
        <f t="shared" si="44"/>
        <v>0</v>
      </c>
      <c r="AA20" s="32">
        <f t="shared" si="44"/>
        <v>0</v>
      </c>
      <c r="AB20" s="32">
        <f t="shared" si="44"/>
        <v>0</v>
      </c>
      <c r="AC20" s="32">
        <f t="shared" si="20"/>
        <v>0</v>
      </c>
      <c r="AD20" s="32"/>
      <c r="AE20" s="32">
        <f t="shared" si="44"/>
        <v>0</v>
      </c>
      <c r="AF20" s="32">
        <f t="shared" si="44"/>
        <v>0</v>
      </c>
      <c r="AG20" s="32">
        <f t="shared" si="44"/>
        <v>0</v>
      </c>
      <c r="AH20" s="32">
        <f t="shared" si="44"/>
        <v>0</v>
      </c>
      <c r="AI20" s="32">
        <f t="shared" si="44"/>
        <v>0</v>
      </c>
      <c r="AJ20" s="32">
        <f t="shared" si="11"/>
        <v>0</v>
      </c>
      <c r="AK20" s="7">
        <v>0</v>
      </c>
      <c r="AL20" s="32">
        <v>0</v>
      </c>
      <c r="AM20" s="32"/>
      <c r="AN20" s="4">
        <v>0</v>
      </c>
      <c r="AO20" s="32">
        <f t="shared" si="21"/>
        <v>0</v>
      </c>
      <c r="AP20" s="32">
        <f t="shared" si="22"/>
        <v>0</v>
      </c>
      <c r="AS20" s="32">
        <f t="shared" si="23"/>
        <v>0</v>
      </c>
      <c r="AT20" s="32">
        <f t="shared" si="13"/>
        <v>0</v>
      </c>
      <c r="AU20" s="32">
        <f t="shared" si="24"/>
        <v>0</v>
      </c>
      <c r="AV20" s="4">
        <f t="shared" si="25"/>
        <v>0</v>
      </c>
      <c r="AW20" s="32">
        <f t="shared" si="26"/>
        <v>0</v>
      </c>
      <c r="AX20" s="4">
        <f t="shared" si="27"/>
        <v>0</v>
      </c>
      <c r="AY20" s="32">
        <f t="shared" si="28"/>
        <v>0</v>
      </c>
      <c r="AZ20" s="4">
        <f t="shared" si="29"/>
        <v>0</v>
      </c>
      <c r="BA20" s="32">
        <f t="shared" si="30"/>
        <v>0</v>
      </c>
      <c r="BB20" s="32">
        <f t="shared" si="14"/>
        <v>0</v>
      </c>
      <c r="BC20" s="32">
        <f t="shared" si="31"/>
        <v>0</v>
      </c>
      <c r="BD20" s="32">
        <f t="shared" si="32"/>
        <v>0</v>
      </c>
      <c r="BF20" s="32">
        <f t="shared" si="33"/>
        <v>0</v>
      </c>
      <c r="BG20" s="32">
        <f t="shared" si="15"/>
        <v>0</v>
      </c>
      <c r="BH20" s="32">
        <f t="shared" si="34"/>
        <v>0</v>
      </c>
      <c r="BI20" s="4">
        <f t="shared" si="35"/>
        <v>0</v>
      </c>
      <c r="BJ20" s="32">
        <f t="shared" si="36"/>
        <v>0</v>
      </c>
      <c r="BK20" s="4">
        <f t="shared" si="37"/>
        <v>0</v>
      </c>
      <c r="BL20" s="32">
        <f t="shared" si="38"/>
        <v>0</v>
      </c>
      <c r="BM20" s="4">
        <f t="shared" si="39"/>
        <v>0</v>
      </c>
      <c r="BN20" s="32">
        <f t="shared" si="40"/>
        <v>0</v>
      </c>
      <c r="BO20" s="4">
        <f t="shared" si="41"/>
        <v>0</v>
      </c>
      <c r="BP20" s="32">
        <f t="shared" si="42"/>
        <v>0</v>
      </c>
      <c r="BQ20" s="32">
        <f t="shared" si="43"/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</row>
    <row r="21" spans="1:121" x14ac:dyDescent="0.35">
      <c r="A21" s="84">
        <f>'2017 Prop share of contribs'!A17</f>
        <v>12</v>
      </c>
      <c r="B21" s="84" t="str">
        <f>'2017 Prop share of contribs'!B17</f>
        <v xml:space="preserve">BRACKEN COUNTY SCHOOLS  </v>
      </c>
      <c r="C21" s="25" t="s">
        <v>132</v>
      </c>
      <c r="D21" s="33">
        <f>ROUND('Employer Allocations'!G60,8)</f>
        <v>0</v>
      </c>
      <c r="E21" s="4">
        <f>ROUND('Employer Allocations'!H60,8)</f>
        <v>1.6001699999999999E-3</v>
      </c>
      <c r="F21" s="4">
        <f>ROUND('Employer Allocations'!I60,8)</f>
        <v>1.6001699999999999E-3</v>
      </c>
      <c r="G21" s="4">
        <v>0</v>
      </c>
      <c r="H21" s="4">
        <v>1.5952099999999999E-3</v>
      </c>
      <c r="I21" s="4">
        <v>1.5952099999999999E-3</v>
      </c>
      <c r="J21" s="7">
        <f t="shared" si="5"/>
        <v>0</v>
      </c>
      <c r="K21" s="7">
        <f t="shared" si="6"/>
        <v>43176978</v>
      </c>
      <c r="L21" s="7">
        <f t="shared" si="16"/>
        <v>43176978</v>
      </c>
      <c r="M21" s="7"/>
      <c r="N21" s="7">
        <f t="shared" si="7"/>
        <v>0</v>
      </c>
      <c r="O21" s="32">
        <f t="shared" si="8"/>
        <v>0</v>
      </c>
      <c r="P21" s="32"/>
      <c r="Q21" s="32">
        <f t="shared" si="9"/>
        <v>3073539</v>
      </c>
      <c r="R21" s="32">
        <f t="shared" si="17"/>
        <v>3073539</v>
      </c>
      <c r="S21" s="32">
        <f t="shared" si="18"/>
        <v>0</v>
      </c>
      <c r="T21" s="32">
        <f t="shared" si="10"/>
        <v>0</v>
      </c>
      <c r="U21" s="32">
        <f t="shared" si="44"/>
        <v>0</v>
      </c>
      <c r="V21" s="32">
        <f t="shared" si="44"/>
        <v>0</v>
      </c>
      <c r="W21" s="32">
        <f t="shared" si="44"/>
        <v>0</v>
      </c>
      <c r="X21" s="32">
        <f t="shared" si="19"/>
        <v>0</v>
      </c>
      <c r="Y21" s="32"/>
      <c r="Z21" s="32">
        <f t="shared" si="44"/>
        <v>0</v>
      </c>
      <c r="AA21" s="32">
        <f t="shared" si="44"/>
        <v>0</v>
      </c>
      <c r="AB21" s="32">
        <f t="shared" si="44"/>
        <v>0</v>
      </c>
      <c r="AC21" s="32">
        <f t="shared" si="20"/>
        <v>0</v>
      </c>
      <c r="AD21" s="32"/>
      <c r="AE21" s="32">
        <f t="shared" si="44"/>
        <v>0</v>
      </c>
      <c r="AF21" s="32">
        <f t="shared" si="44"/>
        <v>0</v>
      </c>
      <c r="AG21" s="32">
        <f t="shared" si="44"/>
        <v>0</v>
      </c>
      <c r="AH21" s="32">
        <f t="shared" si="44"/>
        <v>0</v>
      </c>
      <c r="AI21" s="32">
        <f t="shared" si="44"/>
        <v>0</v>
      </c>
      <c r="AJ21" s="32">
        <f t="shared" si="11"/>
        <v>0</v>
      </c>
      <c r="AK21" s="7">
        <v>0</v>
      </c>
      <c r="AL21" s="32">
        <v>0</v>
      </c>
      <c r="AM21" s="32"/>
      <c r="AN21" s="4">
        <v>0</v>
      </c>
      <c r="AO21" s="32">
        <f t="shared" si="21"/>
        <v>0</v>
      </c>
      <c r="AP21" s="32">
        <f t="shared" si="22"/>
        <v>0</v>
      </c>
      <c r="AS21" s="32">
        <f t="shared" si="23"/>
        <v>0</v>
      </c>
      <c r="AT21" s="32">
        <f t="shared" si="13"/>
        <v>0</v>
      </c>
      <c r="AU21" s="32">
        <f t="shared" si="24"/>
        <v>0</v>
      </c>
      <c r="AV21" s="4">
        <f t="shared" si="25"/>
        <v>0</v>
      </c>
      <c r="AW21" s="32">
        <f t="shared" si="26"/>
        <v>0</v>
      </c>
      <c r="AX21" s="4">
        <f t="shared" si="27"/>
        <v>0</v>
      </c>
      <c r="AY21" s="32">
        <f t="shared" si="28"/>
        <v>0</v>
      </c>
      <c r="AZ21" s="4">
        <f t="shared" si="29"/>
        <v>0</v>
      </c>
      <c r="BA21" s="32">
        <f t="shared" si="30"/>
        <v>0</v>
      </c>
      <c r="BB21" s="32">
        <f t="shared" si="14"/>
        <v>0</v>
      </c>
      <c r="BC21" s="32">
        <f t="shared" si="31"/>
        <v>0</v>
      </c>
      <c r="BD21" s="32">
        <f t="shared" si="32"/>
        <v>0</v>
      </c>
      <c r="BF21" s="32">
        <f t="shared" si="33"/>
        <v>0</v>
      </c>
      <c r="BG21" s="32">
        <f t="shared" si="15"/>
        <v>0</v>
      </c>
      <c r="BH21" s="32">
        <f t="shared" si="34"/>
        <v>0</v>
      </c>
      <c r="BI21" s="4">
        <f t="shared" si="35"/>
        <v>0</v>
      </c>
      <c r="BJ21" s="32">
        <f t="shared" si="36"/>
        <v>0</v>
      </c>
      <c r="BK21" s="4">
        <f t="shared" si="37"/>
        <v>0</v>
      </c>
      <c r="BL21" s="32">
        <f t="shared" si="38"/>
        <v>0</v>
      </c>
      <c r="BM21" s="4">
        <f t="shared" si="39"/>
        <v>0</v>
      </c>
      <c r="BN21" s="32">
        <f t="shared" si="40"/>
        <v>0</v>
      </c>
      <c r="BO21" s="4">
        <f t="shared" si="41"/>
        <v>0</v>
      </c>
      <c r="BP21" s="32">
        <f t="shared" si="42"/>
        <v>0</v>
      </c>
      <c r="BQ21" s="32">
        <f t="shared" si="43"/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</row>
    <row r="22" spans="1:121" x14ac:dyDescent="0.35">
      <c r="A22" s="84">
        <f>'2017 Prop share of contribs'!A18</f>
        <v>13</v>
      </c>
      <c r="B22" s="84" t="str">
        <f>'2017 Prop share of contribs'!B18</f>
        <v xml:space="preserve">BREATHITT COUNTY SCHOOLS  </v>
      </c>
      <c r="C22" s="25" t="s">
        <v>133</v>
      </c>
      <c r="D22" s="33">
        <f>ROUND('Employer Allocations'!G61,8)</f>
        <v>0</v>
      </c>
      <c r="E22" s="4">
        <f>ROUND('Employer Allocations'!H61,8)</f>
        <v>2.5713799999999998E-3</v>
      </c>
      <c r="F22" s="4">
        <f>ROUND('Employer Allocations'!I61,8)</f>
        <v>2.5713799999999998E-3</v>
      </c>
      <c r="G22" s="4">
        <v>0</v>
      </c>
      <c r="H22" s="4">
        <v>2.6648000000000002E-3</v>
      </c>
      <c r="I22" s="4">
        <v>2.6648000000000002E-3</v>
      </c>
      <c r="J22" s="7">
        <f t="shared" si="5"/>
        <v>0</v>
      </c>
      <c r="K22" s="7">
        <f t="shared" si="6"/>
        <v>69382889</v>
      </c>
      <c r="L22" s="7">
        <f t="shared" si="16"/>
        <v>69382889</v>
      </c>
      <c r="M22" s="7"/>
      <c r="N22" s="7">
        <f t="shared" si="7"/>
        <v>0</v>
      </c>
      <c r="O22" s="32">
        <f t="shared" si="8"/>
        <v>0</v>
      </c>
      <c r="P22" s="32"/>
      <c r="Q22" s="32">
        <f t="shared" si="9"/>
        <v>4938998</v>
      </c>
      <c r="R22" s="32">
        <f t="shared" si="17"/>
        <v>4938998</v>
      </c>
      <c r="S22" s="32">
        <f t="shared" si="18"/>
        <v>0</v>
      </c>
      <c r="T22" s="32">
        <f t="shared" si="10"/>
        <v>0</v>
      </c>
      <c r="U22" s="32">
        <f t="shared" si="44"/>
        <v>0</v>
      </c>
      <c r="V22" s="32">
        <f t="shared" si="44"/>
        <v>0</v>
      </c>
      <c r="W22" s="32">
        <f t="shared" si="44"/>
        <v>0</v>
      </c>
      <c r="X22" s="32">
        <f t="shared" si="19"/>
        <v>0</v>
      </c>
      <c r="Y22" s="32"/>
      <c r="Z22" s="32">
        <f t="shared" si="44"/>
        <v>0</v>
      </c>
      <c r="AA22" s="32">
        <f t="shared" si="44"/>
        <v>0</v>
      </c>
      <c r="AB22" s="32">
        <f t="shared" si="44"/>
        <v>0</v>
      </c>
      <c r="AC22" s="32">
        <f t="shared" si="20"/>
        <v>0</v>
      </c>
      <c r="AD22" s="32"/>
      <c r="AE22" s="32">
        <f t="shared" si="44"/>
        <v>0</v>
      </c>
      <c r="AF22" s="32">
        <f t="shared" si="44"/>
        <v>0</v>
      </c>
      <c r="AG22" s="32">
        <f t="shared" si="44"/>
        <v>0</v>
      </c>
      <c r="AH22" s="32">
        <f t="shared" si="44"/>
        <v>0</v>
      </c>
      <c r="AI22" s="32">
        <f t="shared" si="44"/>
        <v>0</v>
      </c>
      <c r="AJ22" s="32">
        <f t="shared" si="11"/>
        <v>0</v>
      </c>
      <c r="AK22" s="7">
        <v>0</v>
      </c>
      <c r="AL22" s="32">
        <v>0</v>
      </c>
      <c r="AM22" s="32"/>
      <c r="AN22" s="4">
        <v>0</v>
      </c>
      <c r="AO22" s="32">
        <f t="shared" si="21"/>
        <v>0</v>
      </c>
      <c r="AP22" s="32">
        <f t="shared" si="22"/>
        <v>0</v>
      </c>
      <c r="AS22" s="32">
        <f t="shared" si="23"/>
        <v>0</v>
      </c>
      <c r="AT22" s="32">
        <f t="shared" si="13"/>
        <v>0</v>
      </c>
      <c r="AU22" s="32">
        <f t="shared" si="24"/>
        <v>0</v>
      </c>
      <c r="AV22" s="4">
        <f t="shared" si="25"/>
        <v>0</v>
      </c>
      <c r="AW22" s="32">
        <f t="shared" si="26"/>
        <v>0</v>
      </c>
      <c r="AX22" s="4">
        <f t="shared" si="27"/>
        <v>0</v>
      </c>
      <c r="AY22" s="32">
        <f t="shared" si="28"/>
        <v>0</v>
      </c>
      <c r="AZ22" s="4">
        <f t="shared" si="29"/>
        <v>0</v>
      </c>
      <c r="BA22" s="32">
        <f t="shared" si="30"/>
        <v>0</v>
      </c>
      <c r="BB22" s="32">
        <f t="shared" si="14"/>
        <v>0</v>
      </c>
      <c r="BC22" s="32">
        <f t="shared" si="31"/>
        <v>0</v>
      </c>
      <c r="BD22" s="32">
        <f t="shared" si="32"/>
        <v>0</v>
      </c>
      <c r="BF22" s="32">
        <f t="shared" si="33"/>
        <v>0</v>
      </c>
      <c r="BG22" s="32">
        <f t="shared" si="15"/>
        <v>0</v>
      </c>
      <c r="BH22" s="32">
        <f t="shared" si="34"/>
        <v>0</v>
      </c>
      <c r="BI22" s="4">
        <f t="shared" si="35"/>
        <v>0</v>
      </c>
      <c r="BJ22" s="32">
        <f t="shared" si="36"/>
        <v>0</v>
      </c>
      <c r="BK22" s="4">
        <f t="shared" si="37"/>
        <v>0</v>
      </c>
      <c r="BL22" s="32">
        <f t="shared" si="38"/>
        <v>0</v>
      </c>
      <c r="BM22" s="4">
        <f t="shared" si="39"/>
        <v>0</v>
      </c>
      <c r="BN22" s="32">
        <f t="shared" si="40"/>
        <v>0</v>
      </c>
      <c r="BO22" s="4">
        <f t="shared" si="41"/>
        <v>0</v>
      </c>
      <c r="BP22" s="32">
        <f t="shared" si="42"/>
        <v>0</v>
      </c>
      <c r="BQ22" s="32">
        <f t="shared" si="43"/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</row>
    <row r="23" spans="1:121" x14ac:dyDescent="0.35">
      <c r="A23" s="84">
        <f>'2017 Prop share of contribs'!A19</f>
        <v>14</v>
      </c>
      <c r="B23" s="84" t="str">
        <f>'2017 Prop share of contribs'!B19</f>
        <v xml:space="preserve">BRECKINRIDGE COUNTY SCHOOLS  </v>
      </c>
      <c r="C23" s="25" t="s">
        <v>134</v>
      </c>
      <c r="D23" s="33">
        <f>ROUND('Employer Allocations'!G62,8)</f>
        <v>0</v>
      </c>
      <c r="E23" s="4">
        <f>ROUND('Employer Allocations'!H62,8)</f>
        <v>3.5650199999999999E-3</v>
      </c>
      <c r="F23" s="4">
        <f>ROUND('Employer Allocations'!I62,8)</f>
        <v>3.5650199999999999E-3</v>
      </c>
      <c r="G23" s="4">
        <v>0</v>
      </c>
      <c r="H23" s="4">
        <v>3.57574E-3</v>
      </c>
      <c r="I23" s="4">
        <v>3.57574E-3</v>
      </c>
      <c r="J23" s="7">
        <f t="shared" si="5"/>
        <v>0</v>
      </c>
      <c r="K23" s="7">
        <f t="shared" si="6"/>
        <v>96194023</v>
      </c>
      <c r="L23" s="7">
        <f t="shared" si="16"/>
        <v>96194023</v>
      </c>
      <c r="M23" s="7"/>
      <c r="N23" s="7">
        <f t="shared" si="7"/>
        <v>0</v>
      </c>
      <c r="O23" s="32">
        <f t="shared" si="8"/>
        <v>0</v>
      </c>
      <c r="P23" s="32"/>
      <c r="Q23" s="32">
        <f t="shared" si="9"/>
        <v>6847539</v>
      </c>
      <c r="R23" s="32">
        <f t="shared" si="17"/>
        <v>6847539</v>
      </c>
      <c r="S23" s="32">
        <f t="shared" si="18"/>
        <v>0</v>
      </c>
      <c r="T23" s="32">
        <f t="shared" si="10"/>
        <v>0</v>
      </c>
      <c r="U23" s="32">
        <f t="shared" si="44"/>
        <v>0</v>
      </c>
      <c r="V23" s="32">
        <f t="shared" si="44"/>
        <v>0</v>
      </c>
      <c r="W23" s="32">
        <f t="shared" si="44"/>
        <v>0</v>
      </c>
      <c r="X23" s="32">
        <f t="shared" si="19"/>
        <v>0</v>
      </c>
      <c r="Y23" s="32"/>
      <c r="Z23" s="32">
        <f t="shared" si="44"/>
        <v>0</v>
      </c>
      <c r="AA23" s="32">
        <f t="shared" si="44"/>
        <v>0</v>
      </c>
      <c r="AB23" s="32">
        <f t="shared" si="44"/>
        <v>0</v>
      </c>
      <c r="AC23" s="32">
        <f t="shared" si="20"/>
        <v>0</v>
      </c>
      <c r="AD23" s="32"/>
      <c r="AE23" s="32">
        <f t="shared" si="44"/>
        <v>0</v>
      </c>
      <c r="AF23" s="32">
        <f t="shared" si="44"/>
        <v>0</v>
      </c>
      <c r="AG23" s="32">
        <f t="shared" si="44"/>
        <v>0</v>
      </c>
      <c r="AH23" s="32">
        <f t="shared" si="44"/>
        <v>0</v>
      </c>
      <c r="AI23" s="32">
        <f t="shared" si="44"/>
        <v>0</v>
      </c>
      <c r="AJ23" s="32">
        <f t="shared" si="11"/>
        <v>0</v>
      </c>
      <c r="AK23" s="7">
        <v>0</v>
      </c>
      <c r="AL23" s="32">
        <v>0</v>
      </c>
      <c r="AM23" s="32"/>
      <c r="AN23" s="4">
        <v>0</v>
      </c>
      <c r="AO23" s="32">
        <f t="shared" si="21"/>
        <v>0</v>
      </c>
      <c r="AP23" s="32">
        <f t="shared" si="22"/>
        <v>0</v>
      </c>
      <c r="AS23" s="32">
        <f t="shared" si="23"/>
        <v>0</v>
      </c>
      <c r="AT23" s="32">
        <f t="shared" si="13"/>
        <v>0</v>
      </c>
      <c r="AU23" s="32">
        <f t="shared" si="24"/>
        <v>0</v>
      </c>
      <c r="AV23" s="4">
        <f t="shared" si="25"/>
        <v>0</v>
      </c>
      <c r="AW23" s="32">
        <f t="shared" si="26"/>
        <v>0</v>
      </c>
      <c r="AX23" s="4">
        <f t="shared" si="27"/>
        <v>0</v>
      </c>
      <c r="AY23" s="32">
        <f t="shared" si="28"/>
        <v>0</v>
      </c>
      <c r="AZ23" s="4">
        <f t="shared" si="29"/>
        <v>0</v>
      </c>
      <c r="BA23" s="32">
        <f t="shared" si="30"/>
        <v>0</v>
      </c>
      <c r="BB23" s="32">
        <f t="shared" si="14"/>
        <v>0</v>
      </c>
      <c r="BC23" s="32">
        <f t="shared" si="31"/>
        <v>0</v>
      </c>
      <c r="BD23" s="32">
        <f t="shared" si="32"/>
        <v>0</v>
      </c>
      <c r="BF23" s="32">
        <f t="shared" si="33"/>
        <v>0</v>
      </c>
      <c r="BG23" s="32">
        <f t="shared" si="15"/>
        <v>0</v>
      </c>
      <c r="BH23" s="32">
        <f t="shared" si="34"/>
        <v>0</v>
      </c>
      <c r="BI23" s="4">
        <f t="shared" si="35"/>
        <v>0</v>
      </c>
      <c r="BJ23" s="32">
        <f t="shared" si="36"/>
        <v>0</v>
      </c>
      <c r="BK23" s="4">
        <f t="shared" si="37"/>
        <v>0</v>
      </c>
      <c r="BL23" s="32">
        <f t="shared" si="38"/>
        <v>0</v>
      </c>
      <c r="BM23" s="4">
        <f t="shared" si="39"/>
        <v>0</v>
      </c>
      <c r="BN23" s="32">
        <f t="shared" si="40"/>
        <v>0</v>
      </c>
      <c r="BO23" s="4">
        <f t="shared" si="41"/>
        <v>0</v>
      </c>
      <c r="BP23" s="32">
        <f t="shared" si="42"/>
        <v>0</v>
      </c>
      <c r="BQ23" s="32">
        <f t="shared" si="43"/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</row>
    <row r="24" spans="1:121" x14ac:dyDescent="0.35">
      <c r="A24" s="84">
        <f>'2017 Prop share of contribs'!A20</f>
        <v>15</v>
      </c>
      <c r="B24" s="84" t="str">
        <f>'2017 Prop share of contribs'!B20</f>
        <v xml:space="preserve">BULLITT COUNTY SCHOOLS  </v>
      </c>
      <c r="C24" s="25" t="s">
        <v>135</v>
      </c>
      <c r="D24" s="33">
        <f>ROUND('Employer Allocations'!G63,8)</f>
        <v>0</v>
      </c>
      <c r="E24" s="4">
        <f>ROUND('Employer Allocations'!H63,8)</f>
        <v>1.811774E-2</v>
      </c>
      <c r="F24" s="4">
        <f>ROUND('Employer Allocations'!I63,8)</f>
        <v>1.811774E-2</v>
      </c>
      <c r="G24" s="4">
        <v>0</v>
      </c>
      <c r="H24" s="4">
        <v>1.7943379999999998E-2</v>
      </c>
      <c r="I24" s="4">
        <v>1.7943379999999998E-2</v>
      </c>
      <c r="J24" s="7">
        <f t="shared" si="5"/>
        <v>0</v>
      </c>
      <c r="K24" s="7">
        <f t="shared" si="6"/>
        <v>488866344</v>
      </c>
      <c r="L24" s="7">
        <f t="shared" si="16"/>
        <v>488866344</v>
      </c>
      <c r="M24" s="7"/>
      <c r="N24" s="7">
        <f t="shared" si="7"/>
        <v>0</v>
      </c>
      <c r="O24" s="32">
        <f t="shared" si="8"/>
        <v>0</v>
      </c>
      <c r="P24" s="32"/>
      <c r="Q24" s="32">
        <f t="shared" si="9"/>
        <v>34799788</v>
      </c>
      <c r="R24" s="32">
        <f t="shared" si="17"/>
        <v>34799788</v>
      </c>
      <c r="S24" s="32">
        <f t="shared" si="18"/>
        <v>0</v>
      </c>
      <c r="T24" s="32">
        <f t="shared" si="10"/>
        <v>0</v>
      </c>
      <c r="U24" s="32">
        <f t="shared" si="44"/>
        <v>0</v>
      </c>
      <c r="V24" s="32">
        <f t="shared" si="44"/>
        <v>0</v>
      </c>
      <c r="W24" s="32">
        <f t="shared" si="44"/>
        <v>0</v>
      </c>
      <c r="X24" s="32">
        <f t="shared" si="19"/>
        <v>0</v>
      </c>
      <c r="Y24" s="32"/>
      <c r="Z24" s="32">
        <f t="shared" si="44"/>
        <v>0</v>
      </c>
      <c r="AA24" s="32">
        <f t="shared" si="44"/>
        <v>0</v>
      </c>
      <c r="AB24" s="32">
        <f t="shared" si="44"/>
        <v>0</v>
      </c>
      <c r="AC24" s="32">
        <f t="shared" si="20"/>
        <v>0</v>
      </c>
      <c r="AD24" s="32"/>
      <c r="AE24" s="32">
        <f t="shared" si="44"/>
        <v>0</v>
      </c>
      <c r="AF24" s="32">
        <f t="shared" si="44"/>
        <v>0</v>
      </c>
      <c r="AG24" s="32">
        <f t="shared" si="44"/>
        <v>0</v>
      </c>
      <c r="AH24" s="32">
        <f t="shared" si="44"/>
        <v>0</v>
      </c>
      <c r="AI24" s="32">
        <f t="shared" si="44"/>
        <v>0</v>
      </c>
      <c r="AJ24" s="32">
        <f t="shared" si="11"/>
        <v>0</v>
      </c>
      <c r="AK24" s="7">
        <v>0</v>
      </c>
      <c r="AL24" s="32">
        <v>0</v>
      </c>
      <c r="AM24" s="32"/>
      <c r="AN24" s="4">
        <v>0</v>
      </c>
      <c r="AO24" s="32">
        <f t="shared" si="21"/>
        <v>0</v>
      </c>
      <c r="AP24" s="32">
        <f t="shared" si="22"/>
        <v>0</v>
      </c>
      <c r="AS24" s="32">
        <f t="shared" si="23"/>
        <v>0</v>
      </c>
      <c r="AT24" s="32">
        <f t="shared" si="13"/>
        <v>0</v>
      </c>
      <c r="AU24" s="32">
        <f t="shared" si="24"/>
        <v>0</v>
      </c>
      <c r="AV24" s="4">
        <f t="shared" si="25"/>
        <v>0</v>
      </c>
      <c r="AW24" s="32">
        <f t="shared" si="26"/>
        <v>0</v>
      </c>
      <c r="AX24" s="4">
        <f t="shared" si="27"/>
        <v>0</v>
      </c>
      <c r="AY24" s="32">
        <f t="shared" si="28"/>
        <v>0</v>
      </c>
      <c r="AZ24" s="4">
        <f t="shared" si="29"/>
        <v>0</v>
      </c>
      <c r="BA24" s="32">
        <f t="shared" si="30"/>
        <v>0</v>
      </c>
      <c r="BB24" s="32">
        <f t="shared" si="14"/>
        <v>0</v>
      </c>
      <c r="BC24" s="32">
        <f t="shared" si="31"/>
        <v>0</v>
      </c>
      <c r="BD24" s="32">
        <f t="shared" si="32"/>
        <v>0</v>
      </c>
      <c r="BF24" s="32">
        <f t="shared" si="33"/>
        <v>0</v>
      </c>
      <c r="BG24" s="32">
        <f t="shared" si="15"/>
        <v>0</v>
      </c>
      <c r="BH24" s="32">
        <f t="shared" si="34"/>
        <v>0</v>
      </c>
      <c r="BI24" s="4">
        <f t="shared" si="35"/>
        <v>0</v>
      </c>
      <c r="BJ24" s="32">
        <f t="shared" si="36"/>
        <v>0</v>
      </c>
      <c r="BK24" s="4">
        <f t="shared" si="37"/>
        <v>0</v>
      </c>
      <c r="BL24" s="32">
        <f t="shared" si="38"/>
        <v>0</v>
      </c>
      <c r="BM24" s="4">
        <f t="shared" si="39"/>
        <v>0</v>
      </c>
      <c r="BN24" s="32">
        <f t="shared" si="40"/>
        <v>0</v>
      </c>
      <c r="BO24" s="4">
        <f t="shared" si="41"/>
        <v>0</v>
      </c>
      <c r="BP24" s="32">
        <f t="shared" si="42"/>
        <v>0</v>
      </c>
      <c r="BQ24" s="32">
        <f t="shared" si="43"/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</row>
    <row r="25" spans="1:121" x14ac:dyDescent="0.35">
      <c r="A25" s="84">
        <f>'2017 Prop share of contribs'!A21</f>
        <v>16</v>
      </c>
      <c r="B25" s="84" t="str">
        <f>'2017 Prop share of contribs'!B21</f>
        <v xml:space="preserve">BUTLER COUNTY SCHOOLS  </v>
      </c>
      <c r="C25" s="25" t="s">
        <v>136</v>
      </c>
      <c r="D25" s="33">
        <f>ROUND('Employer Allocations'!G64,8)</f>
        <v>0</v>
      </c>
      <c r="E25" s="4">
        <f>ROUND('Employer Allocations'!H64,8)</f>
        <v>2.6741299999999998E-3</v>
      </c>
      <c r="F25" s="4">
        <f>ROUND('Employer Allocations'!I64,8)</f>
        <v>2.6741299999999998E-3</v>
      </c>
      <c r="G25" s="4">
        <v>0</v>
      </c>
      <c r="H25" s="4">
        <v>2.7793900000000001E-3</v>
      </c>
      <c r="I25" s="4">
        <v>2.7793900000000001E-3</v>
      </c>
      <c r="J25" s="7">
        <f t="shared" si="5"/>
        <v>0</v>
      </c>
      <c r="K25" s="7">
        <f t="shared" si="6"/>
        <v>72155366</v>
      </c>
      <c r="L25" s="7">
        <f t="shared" si="16"/>
        <v>72155366</v>
      </c>
      <c r="M25" s="7"/>
      <c r="N25" s="7">
        <f t="shared" si="7"/>
        <v>0</v>
      </c>
      <c r="O25" s="32">
        <f t="shared" si="8"/>
        <v>0</v>
      </c>
      <c r="P25" s="32"/>
      <c r="Q25" s="32">
        <f t="shared" si="9"/>
        <v>5136356</v>
      </c>
      <c r="R25" s="32">
        <f t="shared" si="17"/>
        <v>5136356</v>
      </c>
      <c r="S25" s="32">
        <f t="shared" si="18"/>
        <v>0</v>
      </c>
      <c r="T25" s="32">
        <f t="shared" si="10"/>
        <v>0</v>
      </c>
      <c r="U25" s="32">
        <f t="shared" si="44"/>
        <v>0</v>
      </c>
      <c r="V25" s="32">
        <f t="shared" si="44"/>
        <v>0</v>
      </c>
      <c r="W25" s="32">
        <f t="shared" si="44"/>
        <v>0</v>
      </c>
      <c r="X25" s="32">
        <f t="shared" si="19"/>
        <v>0</v>
      </c>
      <c r="Y25" s="32"/>
      <c r="Z25" s="32">
        <f t="shared" si="44"/>
        <v>0</v>
      </c>
      <c r="AA25" s="32">
        <f t="shared" si="44"/>
        <v>0</v>
      </c>
      <c r="AB25" s="32">
        <f t="shared" si="44"/>
        <v>0</v>
      </c>
      <c r="AC25" s="32">
        <f t="shared" si="20"/>
        <v>0</v>
      </c>
      <c r="AD25" s="32"/>
      <c r="AE25" s="32">
        <f t="shared" si="44"/>
        <v>0</v>
      </c>
      <c r="AF25" s="32">
        <f t="shared" si="44"/>
        <v>0</v>
      </c>
      <c r="AG25" s="32">
        <f t="shared" si="44"/>
        <v>0</v>
      </c>
      <c r="AH25" s="32">
        <f t="shared" si="44"/>
        <v>0</v>
      </c>
      <c r="AI25" s="32">
        <f t="shared" si="44"/>
        <v>0</v>
      </c>
      <c r="AJ25" s="32">
        <f t="shared" si="11"/>
        <v>0</v>
      </c>
      <c r="AK25" s="7">
        <v>0</v>
      </c>
      <c r="AL25" s="32">
        <v>0</v>
      </c>
      <c r="AM25" s="32"/>
      <c r="AN25" s="4">
        <v>0</v>
      </c>
      <c r="AO25" s="32">
        <f t="shared" si="21"/>
        <v>0</v>
      </c>
      <c r="AP25" s="32">
        <f t="shared" si="22"/>
        <v>0</v>
      </c>
      <c r="AS25" s="32">
        <f t="shared" si="23"/>
        <v>0</v>
      </c>
      <c r="AT25" s="32">
        <f t="shared" si="13"/>
        <v>0</v>
      </c>
      <c r="AU25" s="32">
        <f t="shared" si="24"/>
        <v>0</v>
      </c>
      <c r="AV25" s="4">
        <f t="shared" si="25"/>
        <v>0</v>
      </c>
      <c r="AW25" s="32">
        <f t="shared" si="26"/>
        <v>0</v>
      </c>
      <c r="AX25" s="4">
        <f t="shared" si="27"/>
        <v>0</v>
      </c>
      <c r="AY25" s="32">
        <f t="shared" si="28"/>
        <v>0</v>
      </c>
      <c r="AZ25" s="4">
        <f t="shared" si="29"/>
        <v>0</v>
      </c>
      <c r="BA25" s="32">
        <f t="shared" si="30"/>
        <v>0</v>
      </c>
      <c r="BB25" s="32">
        <f t="shared" si="14"/>
        <v>0</v>
      </c>
      <c r="BC25" s="32">
        <f t="shared" si="31"/>
        <v>0</v>
      </c>
      <c r="BD25" s="32">
        <f t="shared" si="32"/>
        <v>0</v>
      </c>
      <c r="BF25" s="32">
        <f t="shared" si="33"/>
        <v>0</v>
      </c>
      <c r="BG25" s="32">
        <f t="shared" si="15"/>
        <v>0</v>
      </c>
      <c r="BH25" s="32">
        <f t="shared" si="34"/>
        <v>0</v>
      </c>
      <c r="BI25" s="4">
        <f t="shared" si="35"/>
        <v>0</v>
      </c>
      <c r="BJ25" s="32">
        <f t="shared" si="36"/>
        <v>0</v>
      </c>
      <c r="BK25" s="4">
        <f t="shared" si="37"/>
        <v>0</v>
      </c>
      <c r="BL25" s="32">
        <f t="shared" si="38"/>
        <v>0</v>
      </c>
      <c r="BM25" s="4">
        <f t="shared" si="39"/>
        <v>0</v>
      </c>
      <c r="BN25" s="32">
        <f t="shared" si="40"/>
        <v>0</v>
      </c>
      <c r="BO25" s="4">
        <f t="shared" si="41"/>
        <v>0</v>
      </c>
      <c r="BP25" s="32">
        <f t="shared" si="42"/>
        <v>0</v>
      </c>
      <c r="BQ25" s="32">
        <f t="shared" si="43"/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</row>
    <row r="26" spans="1:121" x14ac:dyDescent="0.35">
      <c r="A26" s="84">
        <f>'2017 Prop share of contribs'!A22</f>
        <v>17</v>
      </c>
      <c r="B26" s="84" t="str">
        <f>'2017 Prop share of contribs'!B22</f>
        <v xml:space="preserve">CALDWELL COUNTY SCHOOLS  </v>
      </c>
      <c r="C26" s="25" t="s">
        <v>137</v>
      </c>
      <c r="D26" s="33">
        <f>ROUND('Employer Allocations'!G65,8)</f>
        <v>0</v>
      </c>
      <c r="E26" s="4">
        <f>ROUND('Employer Allocations'!H65,8)</f>
        <v>2.2891999999999999E-3</v>
      </c>
      <c r="F26" s="4">
        <f>ROUND('Employer Allocations'!I65,8)</f>
        <v>2.2891999999999999E-3</v>
      </c>
      <c r="G26" s="4">
        <v>0</v>
      </c>
      <c r="H26" s="4">
        <v>2.4079700000000002E-3</v>
      </c>
      <c r="I26" s="4">
        <v>2.4079700000000002E-3</v>
      </c>
      <c r="J26" s="7">
        <f t="shared" si="5"/>
        <v>0</v>
      </c>
      <c r="K26" s="7">
        <f t="shared" si="6"/>
        <v>61768898</v>
      </c>
      <c r="L26" s="7">
        <f t="shared" si="16"/>
        <v>61768898</v>
      </c>
      <c r="M26" s="7"/>
      <c r="N26" s="7">
        <f t="shared" si="7"/>
        <v>0</v>
      </c>
      <c r="O26" s="32">
        <f t="shared" si="8"/>
        <v>0</v>
      </c>
      <c r="P26" s="32"/>
      <c r="Q26" s="32">
        <f t="shared" si="9"/>
        <v>4396998</v>
      </c>
      <c r="R26" s="32">
        <f t="shared" si="17"/>
        <v>4396998</v>
      </c>
      <c r="S26" s="32">
        <f t="shared" si="18"/>
        <v>0</v>
      </c>
      <c r="T26" s="32">
        <f t="shared" si="10"/>
        <v>0</v>
      </c>
      <c r="U26" s="32">
        <f t="shared" si="44"/>
        <v>0</v>
      </c>
      <c r="V26" s="32">
        <f t="shared" si="44"/>
        <v>0</v>
      </c>
      <c r="W26" s="32">
        <f t="shared" si="44"/>
        <v>0</v>
      </c>
      <c r="X26" s="32">
        <f t="shared" si="19"/>
        <v>0</v>
      </c>
      <c r="Y26" s="32"/>
      <c r="Z26" s="32">
        <f t="shared" si="44"/>
        <v>0</v>
      </c>
      <c r="AA26" s="32">
        <f t="shared" si="44"/>
        <v>0</v>
      </c>
      <c r="AB26" s="32">
        <f t="shared" si="44"/>
        <v>0</v>
      </c>
      <c r="AC26" s="32">
        <f t="shared" si="20"/>
        <v>0</v>
      </c>
      <c r="AD26" s="32"/>
      <c r="AE26" s="32">
        <f t="shared" si="44"/>
        <v>0</v>
      </c>
      <c r="AF26" s="32">
        <f t="shared" si="44"/>
        <v>0</v>
      </c>
      <c r="AG26" s="32">
        <f t="shared" si="44"/>
        <v>0</v>
      </c>
      <c r="AH26" s="32">
        <f t="shared" si="44"/>
        <v>0</v>
      </c>
      <c r="AI26" s="32">
        <f t="shared" si="44"/>
        <v>0</v>
      </c>
      <c r="AJ26" s="32">
        <f t="shared" si="44"/>
        <v>0</v>
      </c>
      <c r="AK26" s="7">
        <v>0</v>
      </c>
      <c r="AL26" s="32">
        <v>0</v>
      </c>
      <c r="AM26" s="32"/>
      <c r="AN26" s="4">
        <v>0</v>
      </c>
      <c r="AO26" s="32">
        <f t="shared" si="21"/>
        <v>0</v>
      </c>
      <c r="AP26" s="32">
        <f t="shared" si="22"/>
        <v>0</v>
      </c>
      <c r="AS26" s="32">
        <f t="shared" si="23"/>
        <v>0</v>
      </c>
      <c r="AT26" s="32">
        <f t="shared" si="13"/>
        <v>0</v>
      </c>
      <c r="AU26" s="32">
        <f t="shared" si="24"/>
        <v>0</v>
      </c>
      <c r="AV26" s="4">
        <f t="shared" si="25"/>
        <v>0</v>
      </c>
      <c r="AW26" s="32">
        <f t="shared" si="26"/>
        <v>0</v>
      </c>
      <c r="AX26" s="4">
        <f t="shared" si="27"/>
        <v>0</v>
      </c>
      <c r="AY26" s="32">
        <f t="shared" si="28"/>
        <v>0</v>
      </c>
      <c r="AZ26" s="4">
        <f t="shared" si="29"/>
        <v>0</v>
      </c>
      <c r="BA26" s="32">
        <f t="shared" si="30"/>
        <v>0</v>
      </c>
      <c r="BB26" s="32">
        <f t="shared" si="14"/>
        <v>0</v>
      </c>
      <c r="BC26" s="32">
        <f t="shared" si="31"/>
        <v>0</v>
      </c>
      <c r="BD26" s="32">
        <f t="shared" si="32"/>
        <v>0</v>
      </c>
      <c r="BF26" s="32">
        <f t="shared" si="33"/>
        <v>0</v>
      </c>
      <c r="BG26" s="32">
        <f t="shared" si="15"/>
        <v>0</v>
      </c>
      <c r="BH26" s="32">
        <f t="shared" si="34"/>
        <v>0</v>
      </c>
      <c r="BI26" s="4">
        <f t="shared" si="35"/>
        <v>0</v>
      </c>
      <c r="BJ26" s="32">
        <f t="shared" si="36"/>
        <v>0</v>
      </c>
      <c r="BK26" s="4">
        <f t="shared" si="37"/>
        <v>0</v>
      </c>
      <c r="BL26" s="32">
        <f t="shared" si="38"/>
        <v>0</v>
      </c>
      <c r="BM26" s="4">
        <f t="shared" si="39"/>
        <v>0</v>
      </c>
      <c r="BN26" s="32">
        <f t="shared" si="40"/>
        <v>0</v>
      </c>
      <c r="BO26" s="4">
        <f t="shared" si="41"/>
        <v>0</v>
      </c>
      <c r="BP26" s="32">
        <f t="shared" si="42"/>
        <v>0</v>
      </c>
      <c r="BQ26" s="32">
        <f t="shared" si="43"/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0</v>
      </c>
      <c r="DP26" s="4">
        <v>0</v>
      </c>
      <c r="DQ26" s="4">
        <v>0</v>
      </c>
    </row>
    <row r="27" spans="1:121" x14ac:dyDescent="0.35">
      <c r="A27" s="84">
        <f>'2017 Prop share of contribs'!A23</f>
        <v>18</v>
      </c>
      <c r="B27" s="84" t="str">
        <f>'2017 Prop share of contribs'!B23</f>
        <v xml:space="preserve">CALLOWAY COUNTY SCHOOLS  </v>
      </c>
      <c r="C27" s="25" t="s">
        <v>138</v>
      </c>
      <c r="D27" s="33">
        <f>ROUND('Employer Allocations'!G66,8)</f>
        <v>0</v>
      </c>
      <c r="E27" s="4">
        <f>ROUND('Employer Allocations'!H66,8)</f>
        <v>4.0456700000000003E-3</v>
      </c>
      <c r="F27" s="4">
        <f>ROUND('Employer Allocations'!I66,8)</f>
        <v>4.0456700000000003E-3</v>
      </c>
      <c r="G27" s="4">
        <v>0</v>
      </c>
      <c r="H27" s="4">
        <v>4.21879E-3</v>
      </c>
      <c r="I27" s="4">
        <v>4.21879E-3</v>
      </c>
      <c r="J27" s="7">
        <f t="shared" si="5"/>
        <v>0</v>
      </c>
      <c r="K27" s="7">
        <f t="shared" si="6"/>
        <v>109163279</v>
      </c>
      <c r="L27" s="7">
        <f t="shared" si="16"/>
        <v>109163279</v>
      </c>
      <c r="M27" s="7"/>
      <c r="N27" s="7">
        <f t="shared" si="7"/>
        <v>0</v>
      </c>
      <c r="O27" s="32">
        <f t="shared" si="8"/>
        <v>0</v>
      </c>
      <c r="P27" s="32"/>
      <c r="Q27" s="32">
        <f t="shared" si="9"/>
        <v>7770752</v>
      </c>
      <c r="R27" s="32">
        <f t="shared" si="17"/>
        <v>7770752</v>
      </c>
      <c r="S27" s="32">
        <f t="shared" si="18"/>
        <v>0</v>
      </c>
      <c r="T27" s="32">
        <f t="shared" si="10"/>
        <v>0</v>
      </c>
      <c r="U27" s="32">
        <f t="shared" si="44"/>
        <v>0</v>
      </c>
      <c r="V27" s="32">
        <f t="shared" si="44"/>
        <v>0</v>
      </c>
      <c r="W27" s="32">
        <f t="shared" si="44"/>
        <v>0</v>
      </c>
      <c r="X27" s="32">
        <f t="shared" si="19"/>
        <v>0</v>
      </c>
      <c r="Y27" s="32"/>
      <c r="Z27" s="32">
        <f t="shared" si="44"/>
        <v>0</v>
      </c>
      <c r="AA27" s="32">
        <f t="shared" si="44"/>
        <v>0</v>
      </c>
      <c r="AB27" s="32">
        <f t="shared" si="44"/>
        <v>0</v>
      </c>
      <c r="AC27" s="32">
        <f t="shared" si="20"/>
        <v>0</v>
      </c>
      <c r="AD27" s="32"/>
      <c r="AE27" s="32">
        <f t="shared" si="44"/>
        <v>0</v>
      </c>
      <c r="AF27" s="32">
        <f t="shared" si="44"/>
        <v>0</v>
      </c>
      <c r="AG27" s="32">
        <f t="shared" si="44"/>
        <v>0</v>
      </c>
      <c r="AH27" s="32">
        <f t="shared" si="44"/>
        <v>0</v>
      </c>
      <c r="AI27" s="32">
        <f t="shared" si="44"/>
        <v>0</v>
      </c>
      <c r="AJ27" s="32">
        <f t="shared" si="44"/>
        <v>0</v>
      </c>
      <c r="AK27" s="7">
        <v>0</v>
      </c>
      <c r="AL27" s="32">
        <v>0</v>
      </c>
      <c r="AM27" s="32"/>
      <c r="AN27" s="4">
        <v>0</v>
      </c>
      <c r="AO27" s="32">
        <f t="shared" si="21"/>
        <v>0</v>
      </c>
      <c r="AP27" s="32">
        <f t="shared" si="22"/>
        <v>0</v>
      </c>
      <c r="AS27" s="32">
        <f t="shared" si="23"/>
        <v>0</v>
      </c>
      <c r="AT27" s="32">
        <f t="shared" si="13"/>
        <v>0</v>
      </c>
      <c r="AU27" s="32">
        <f t="shared" si="24"/>
        <v>0</v>
      </c>
      <c r="AV27" s="4">
        <f t="shared" si="25"/>
        <v>0</v>
      </c>
      <c r="AW27" s="32">
        <f t="shared" si="26"/>
        <v>0</v>
      </c>
      <c r="AX27" s="4">
        <f t="shared" si="27"/>
        <v>0</v>
      </c>
      <c r="AY27" s="32">
        <f t="shared" si="28"/>
        <v>0</v>
      </c>
      <c r="AZ27" s="4">
        <f t="shared" si="29"/>
        <v>0</v>
      </c>
      <c r="BA27" s="32">
        <f t="shared" si="30"/>
        <v>0</v>
      </c>
      <c r="BB27" s="32">
        <f t="shared" si="14"/>
        <v>0</v>
      </c>
      <c r="BC27" s="32">
        <f t="shared" si="31"/>
        <v>0</v>
      </c>
      <c r="BD27" s="32">
        <f t="shared" si="32"/>
        <v>0</v>
      </c>
      <c r="BF27" s="32">
        <f t="shared" si="33"/>
        <v>0</v>
      </c>
      <c r="BG27" s="32">
        <f t="shared" si="15"/>
        <v>0</v>
      </c>
      <c r="BH27" s="32">
        <f t="shared" si="34"/>
        <v>0</v>
      </c>
      <c r="BI27" s="4">
        <f t="shared" si="35"/>
        <v>0</v>
      </c>
      <c r="BJ27" s="32">
        <f t="shared" si="36"/>
        <v>0</v>
      </c>
      <c r="BK27" s="4">
        <f t="shared" si="37"/>
        <v>0</v>
      </c>
      <c r="BL27" s="32">
        <f t="shared" si="38"/>
        <v>0</v>
      </c>
      <c r="BM27" s="4">
        <f t="shared" si="39"/>
        <v>0</v>
      </c>
      <c r="BN27" s="32">
        <f t="shared" si="40"/>
        <v>0</v>
      </c>
      <c r="BO27" s="4">
        <f t="shared" si="41"/>
        <v>0</v>
      </c>
      <c r="BP27" s="32">
        <f t="shared" si="42"/>
        <v>0</v>
      </c>
      <c r="BQ27" s="32">
        <f t="shared" si="43"/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0</v>
      </c>
    </row>
    <row r="28" spans="1:121" x14ac:dyDescent="0.35">
      <c r="A28" s="84">
        <f>'2017 Prop share of contribs'!A24</f>
        <v>19</v>
      </c>
      <c r="B28" s="84" t="str">
        <f>'2017 Prop share of contribs'!B24</f>
        <v xml:space="preserve">CAMPBELL COUNTY SCHOOLS  </v>
      </c>
      <c r="C28" s="25" t="s">
        <v>139</v>
      </c>
      <c r="D28" s="33">
        <f>ROUND('Employer Allocations'!G67,8)</f>
        <v>0</v>
      </c>
      <c r="E28" s="4">
        <f>ROUND('Employer Allocations'!H67,8)</f>
        <v>6.5504700000000001E-3</v>
      </c>
      <c r="F28" s="4">
        <f>ROUND('Employer Allocations'!I67,8)</f>
        <v>6.5504700000000001E-3</v>
      </c>
      <c r="G28" s="4">
        <v>0</v>
      </c>
      <c r="H28" s="4">
        <v>6.4185199999999996E-3</v>
      </c>
      <c r="I28" s="4">
        <v>6.4185199999999996E-3</v>
      </c>
      <c r="J28" s="7">
        <f t="shared" si="5"/>
        <v>0</v>
      </c>
      <c r="K28" s="7">
        <f t="shared" si="6"/>
        <v>176749656</v>
      </c>
      <c r="L28" s="7">
        <f t="shared" si="16"/>
        <v>176749656</v>
      </c>
      <c r="M28" s="7"/>
      <c r="N28" s="7">
        <f t="shared" si="7"/>
        <v>0</v>
      </c>
      <c r="O28" s="32">
        <f t="shared" si="8"/>
        <v>0</v>
      </c>
      <c r="P28" s="32"/>
      <c r="Q28" s="32">
        <f t="shared" si="9"/>
        <v>12581865</v>
      </c>
      <c r="R28" s="32">
        <f t="shared" si="17"/>
        <v>12581865</v>
      </c>
      <c r="S28" s="32">
        <f t="shared" si="18"/>
        <v>0</v>
      </c>
      <c r="T28" s="32">
        <f t="shared" si="10"/>
        <v>0</v>
      </c>
      <c r="U28" s="32">
        <f t="shared" si="44"/>
        <v>0</v>
      </c>
      <c r="V28" s="32">
        <f t="shared" si="44"/>
        <v>0</v>
      </c>
      <c r="W28" s="32">
        <f t="shared" si="44"/>
        <v>0</v>
      </c>
      <c r="X28" s="32">
        <f t="shared" si="19"/>
        <v>0</v>
      </c>
      <c r="Y28" s="32"/>
      <c r="Z28" s="32">
        <f t="shared" si="44"/>
        <v>0</v>
      </c>
      <c r="AA28" s="32">
        <f t="shared" si="44"/>
        <v>0</v>
      </c>
      <c r="AB28" s="32">
        <f t="shared" si="44"/>
        <v>0</v>
      </c>
      <c r="AC28" s="32">
        <f t="shared" si="20"/>
        <v>0</v>
      </c>
      <c r="AD28" s="32"/>
      <c r="AE28" s="32">
        <f t="shared" si="44"/>
        <v>0</v>
      </c>
      <c r="AF28" s="32">
        <f t="shared" si="44"/>
        <v>0</v>
      </c>
      <c r="AG28" s="32">
        <f t="shared" si="44"/>
        <v>0</v>
      </c>
      <c r="AH28" s="32">
        <f t="shared" si="44"/>
        <v>0</v>
      </c>
      <c r="AI28" s="32">
        <f t="shared" si="44"/>
        <v>0</v>
      </c>
      <c r="AJ28" s="32">
        <f t="shared" si="44"/>
        <v>0</v>
      </c>
      <c r="AK28" s="7">
        <v>0</v>
      </c>
      <c r="AL28" s="32">
        <v>0</v>
      </c>
      <c r="AM28" s="32"/>
      <c r="AN28" s="4">
        <v>0</v>
      </c>
      <c r="AO28" s="32">
        <f t="shared" si="21"/>
        <v>0</v>
      </c>
      <c r="AP28" s="32">
        <f t="shared" si="22"/>
        <v>0</v>
      </c>
      <c r="AS28" s="32">
        <f t="shared" si="23"/>
        <v>0</v>
      </c>
      <c r="AT28" s="32">
        <f t="shared" si="13"/>
        <v>0</v>
      </c>
      <c r="AU28" s="32">
        <f t="shared" si="24"/>
        <v>0</v>
      </c>
      <c r="AV28" s="4">
        <f t="shared" si="25"/>
        <v>0</v>
      </c>
      <c r="AW28" s="32">
        <f t="shared" si="26"/>
        <v>0</v>
      </c>
      <c r="AX28" s="4">
        <f t="shared" si="27"/>
        <v>0</v>
      </c>
      <c r="AY28" s="32">
        <f t="shared" si="28"/>
        <v>0</v>
      </c>
      <c r="AZ28" s="4">
        <f t="shared" si="29"/>
        <v>0</v>
      </c>
      <c r="BA28" s="32">
        <f t="shared" si="30"/>
        <v>0</v>
      </c>
      <c r="BB28" s="32">
        <f t="shared" si="14"/>
        <v>0</v>
      </c>
      <c r="BC28" s="32">
        <f t="shared" si="31"/>
        <v>0</v>
      </c>
      <c r="BD28" s="32">
        <f t="shared" si="32"/>
        <v>0</v>
      </c>
      <c r="BF28" s="32">
        <f t="shared" si="33"/>
        <v>0</v>
      </c>
      <c r="BG28" s="32">
        <f t="shared" si="15"/>
        <v>0</v>
      </c>
      <c r="BH28" s="32">
        <f t="shared" si="34"/>
        <v>0</v>
      </c>
      <c r="BI28" s="4">
        <f t="shared" si="35"/>
        <v>0</v>
      </c>
      <c r="BJ28" s="32">
        <f t="shared" si="36"/>
        <v>0</v>
      </c>
      <c r="BK28" s="4">
        <f t="shared" si="37"/>
        <v>0</v>
      </c>
      <c r="BL28" s="32">
        <f t="shared" si="38"/>
        <v>0</v>
      </c>
      <c r="BM28" s="4">
        <f t="shared" si="39"/>
        <v>0</v>
      </c>
      <c r="BN28" s="32">
        <f t="shared" si="40"/>
        <v>0</v>
      </c>
      <c r="BO28" s="4">
        <f t="shared" si="41"/>
        <v>0</v>
      </c>
      <c r="BP28" s="32">
        <f t="shared" si="42"/>
        <v>0</v>
      </c>
      <c r="BQ28" s="32">
        <f t="shared" si="43"/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</row>
    <row r="29" spans="1:121" x14ac:dyDescent="0.35">
      <c r="A29" s="84">
        <f>'2017 Prop share of contribs'!A25</f>
        <v>20</v>
      </c>
      <c r="B29" s="84" t="str">
        <f>'2017 Prop share of contribs'!B25</f>
        <v xml:space="preserve">CARLISLE COUNTY SCHOOLS  </v>
      </c>
      <c r="C29" s="25" t="s">
        <v>140</v>
      </c>
      <c r="D29" s="33">
        <f>ROUND('Employer Allocations'!G68,8)</f>
        <v>0</v>
      </c>
      <c r="E29" s="4">
        <f>ROUND('Employer Allocations'!H68,8)</f>
        <v>1.07457E-3</v>
      </c>
      <c r="F29" s="4">
        <f>ROUND('Employer Allocations'!I68,8)</f>
        <v>1.07457E-3</v>
      </c>
      <c r="G29" s="4">
        <v>0</v>
      </c>
      <c r="H29" s="4">
        <v>1.0747700000000001E-3</v>
      </c>
      <c r="I29" s="4">
        <v>1.0747700000000001E-3</v>
      </c>
      <c r="J29" s="7">
        <f t="shared" si="5"/>
        <v>0</v>
      </c>
      <c r="K29" s="7">
        <f t="shared" si="6"/>
        <v>28994847</v>
      </c>
      <c r="L29" s="7">
        <f t="shared" si="16"/>
        <v>28994847</v>
      </c>
      <c r="M29" s="7"/>
      <c r="N29" s="7">
        <f t="shared" si="7"/>
        <v>0</v>
      </c>
      <c r="O29" s="32">
        <f t="shared" si="8"/>
        <v>0</v>
      </c>
      <c r="P29" s="32"/>
      <c r="Q29" s="32">
        <f t="shared" si="9"/>
        <v>2063989</v>
      </c>
      <c r="R29" s="32">
        <f t="shared" si="17"/>
        <v>2063989</v>
      </c>
      <c r="S29" s="32">
        <f t="shared" si="18"/>
        <v>0</v>
      </c>
      <c r="T29" s="32">
        <f t="shared" si="10"/>
        <v>0</v>
      </c>
      <c r="U29" s="32">
        <f t="shared" si="44"/>
        <v>0</v>
      </c>
      <c r="V29" s="32">
        <f t="shared" si="44"/>
        <v>0</v>
      </c>
      <c r="W29" s="32">
        <f t="shared" si="44"/>
        <v>0</v>
      </c>
      <c r="X29" s="32">
        <f t="shared" si="19"/>
        <v>0</v>
      </c>
      <c r="Y29" s="32"/>
      <c r="Z29" s="32">
        <f t="shared" si="44"/>
        <v>0</v>
      </c>
      <c r="AA29" s="32">
        <f t="shared" si="44"/>
        <v>0</v>
      </c>
      <c r="AB29" s="32">
        <f t="shared" si="44"/>
        <v>0</v>
      </c>
      <c r="AC29" s="32">
        <f t="shared" si="20"/>
        <v>0</v>
      </c>
      <c r="AD29" s="32"/>
      <c r="AE29" s="32">
        <f t="shared" si="44"/>
        <v>0</v>
      </c>
      <c r="AF29" s="32">
        <f t="shared" si="44"/>
        <v>0</v>
      </c>
      <c r="AG29" s="32">
        <f t="shared" si="44"/>
        <v>0</v>
      </c>
      <c r="AH29" s="32">
        <f t="shared" si="44"/>
        <v>0</v>
      </c>
      <c r="AI29" s="32">
        <f t="shared" si="44"/>
        <v>0</v>
      </c>
      <c r="AJ29" s="32">
        <f t="shared" si="44"/>
        <v>0</v>
      </c>
      <c r="AK29" s="7">
        <v>0</v>
      </c>
      <c r="AL29" s="32">
        <v>0</v>
      </c>
      <c r="AM29" s="32"/>
      <c r="AN29" s="4">
        <v>0</v>
      </c>
      <c r="AO29" s="32">
        <f t="shared" si="21"/>
        <v>0</v>
      </c>
      <c r="AP29" s="32">
        <f t="shared" si="22"/>
        <v>0</v>
      </c>
      <c r="AS29" s="32">
        <f t="shared" si="23"/>
        <v>0</v>
      </c>
      <c r="AT29" s="32">
        <f t="shared" si="13"/>
        <v>0</v>
      </c>
      <c r="AU29" s="32">
        <f t="shared" si="24"/>
        <v>0</v>
      </c>
      <c r="AV29" s="4">
        <f t="shared" si="25"/>
        <v>0</v>
      </c>
      <c r="AW29" s="32">
        <f t="shared" si="26"/>
        <v>0</v>
      </c>
      <c r="AX29" s="4">
        <f t="shared" si="27"/>
        <v>0</v>
      </c>
      <c r="AY29" s="32">
        <f t="shared" si="28"/>
        <v>0</v>
      </c>
      <c r="AZ29" s="4">
        <f t="shared" si="29"/>
        <v>0</v>
      </c>
      <c r="BA29" s="32">
        <f t="shared" si="30"/>
        <v>0</v>
      </c>
      <c r="BB29" s="32">
        <f t="shared" si="14"/>
        <v>0</v>
      </c>
      <c r="BC29" s="32">
        <f t="shared" si="31"/>
        <v>0</v>
      </c>
      <c r="BD29" s="32">
        <f t="shared" si="32"/>
        <v>0</v>
      </c>
      <c r="BF29" s="32">
        <f t="shared" si="33"/>
        <v>0</v>
      </c>
      <c r="BG29" s="32">
        <f t="shared" si="15"/>
        <v>0</v>
      </c>
      <c r="BH29" s="32">
        <f t="shared" si="34"/>
        <v>0</v>
      </c>
      <c r="BI29" s="4">
        <f t="shared" si="35"/>
        <v>0</v>
      </c>
      <c r="BJ29" s="32">
        <f t="shared" si="36"/>
        <v>0</v>
      </c>
      <c r="BK29" s="4">
        <f t="shared" si="37"/>
        <v>0</v>
      </c>
      <c r="BL29" s="32">
        <f t="shared" si="38"/>
        <v>0</v>
      </c>
      <c r="BM29" s="4">
        <f t="shared" si="39"/>
        <v>0</v>
      </c>
      <c r="BN29" s="32">
        <f t="shared" si="40"/>
        <v>0</v>
      </c>
      <c r="BO29" s="4">
        <f t="shared" si="41"/>
        <v>0</v>
      </c>
      <c r="BP29" s="32">
        <f t="shared" si="42"/>
        <v>0</v>
      </c>
      <c r="BQ29" s="32">
        <f t="shared" si="43"/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4">
        <v>0</v>
      </c>
      <c r="DP29" s="4">
        <v>0</v>
      </c>
      <c r="DQ29" s="4">
        <v>0</v>
      </c>
    </row>
    <row r="30" spans="1:121" x14ac:dyDescent="0.35">
      <c r="A30" s="84">
        <f>'2017 Prop share of contribs'!A26</f>
        <v>21</v>
      </c>
      <c r="B30" s="84" t="str">
        <f>'2017 Prop share of contribs'!B26</f>
        <v xml:space="preserve">CARROLL COUNTY SCHOOLS  </v>
      </c>
      <c r="C30" s="25" t="s">
        <v>141</v>
      </c>
      <c r="D30" s="33">
        <f>ROUND('Employer Allocations'!G69,8)</f>
        <v>0</v>
      </c>
      <c r="E30" s="4">
        <f>ROUND('Employer Allocations'!H69,8)</f>
        <v>2.8842199999999998E-3</v>
      </c>
      <c r="F30" s="4">
        <f>ROUND('Employer Allocations'!I69,8)</f>
        <v>2.8842199999999998E-3</v>
      </c>
      <c r="G30" s="4">
        <v>0</v>
      </c>
      <c r="H30" s="4">
        <v>2.8634300000000001E-3</v>
      </c>
      <c r="I30" s="4">
        <v>2.8634300000000001E-3</v>
      </c>
      <c r="J30" s="7">
        <f t="shared" si="5"/>
        <v>0</v>
      </c>
      <c r="K30" s="7">
        <f t="shared" si="6"/>
        <v>77824170</v>
      </c>
      <c r="L30" s="7">
        <f t="shared" si="16"/>
        <v>77824170</v>
      </c>
      <c r="M30" s="7"/>
      <c r="N30" s="7">
        <f t="shared" si="7"/>
        <v>0</v>
      </c>
      <c r="O30" s="32">
        <f t="shared" si="8"/>
        <v>0</v>
      </c>
      <c r="P30" s="32"/>
      <c r="Q30" s="32">
        <f t="shared" si="9"/>
        <v>5539888</v>
      </c>
      <c r="R30" s="32">
        <f t="shared" si="17"/>
        <v>5539888</v>
      </c>
      <c r="S30" s="32">
        <f t="shared" si="18"/>
        <v>0</v>
      </c>
      <c r="T30" s="32">
        <f t="shared" si="10"/>
        <v>0</v>
      </c>
      <c r="U30" s="32">
        <f t="shared" ref="U30:AJ45" si="45">ROUND(U$2*$D30,0)</f>
        <v>0</v>
      </c>
      <c r="V30" s="32">
        <f t="shared" si="45"/>
        <v>0</v>
      </c>
      <c r="W30" s="32">
        <f t="shared" si="45"/>
        <v>0</v>
      </c>
      <c r="X30" s="32">
        <f t="shared" si="19"/>
        <v>0</v>
      </c>
      <c r="Y30" s="32"/>
      <c r="Z30" s="32">
        <f t="shared" si="45"/>
        <v>0</v>
      </c>
      <c r="AA30" s="32">
        <f t="shared" si="45"/>
        <v>0</v>
      </c>
      <c r="AB30" s="32">
        <f t="shared" si="45"/>
        <v>0</v>
      </c>
      <c r="AC30" s="32">
        <f t="shared" si="20"/>
        <v>0</v>
      </c>
      <c r="AD30" s="32"/>
      <c r="AE30" s="32">
        <f t="shared" si="45"/>
        <v>0</v>
      </c>
      <c r="AF30" s="32">
        <f t="shared" si="45"/>
        <v>0</v>
      </c>
      <c r="AG30" s="32">
        <f t="shared" si="45"/>
        <v>0</v>
      </c>
      <c r="AH30" s="32">
        <f t="shared" si="45"/>
        <v>0</v>
      </c>
      <c r="AI30" s="32">
        <f t="shared" si="45"/>
        <v>0</v>
      </c>
      <c r="AJ30" s="32">
        <f t="shared" si="44"/>
        <v>0</v>
      </c>
      <c r="AK30" s="7">
        <v>0</v>
      </c>
      <c r="AL30" s="32">
        <v>0</v>
      </c>
      <c r="AM30" s="32"/>
      <c r="AN30" s="4">
        <v>0</v>
      </c>
      <c r="AO30" s="32">
        <f t="shared" si="21"/>
        <v>0</v>
      </c>
      <c r="AP30" s="32">
        <f t="shared" si="22"/>
        <v>0</v>
      </c>
      <c r="AS30" s="32">
        <f t="shared" si="23"/>
        <v>0</v>
      </c>
      <c r="AT30" s="32">
        <f t="shared" si="13"/>
        <v>0</v>
      </c>
      <c r="AU30" s="32">
        <f t="shared" si="24"/>
        <v>0</v>
      </c>
      <c r="AV30" s="4">
        <f t="shared" si="25"/>
        <v>0</v>
      </c>
      <c r="AW30" s="32">
        <f t="shared" si="26"/>
        <v>0</v>
      </c>
      <c r="AX30" s="4">
        <f t="shared" si="27"/>
        <v>0</v>
      </c>
      <c r="AY30" s="32">
        <f t="shared" si="28"/>
        <v>0</v>
      </c>
      <c r="AZ30" s="4">
        <f t="shared" si="29"/>
        <v>0</v>
      </c>
      <c r="BA30" s="32">
        <f t="shared" si="30"/>
        <v>0</v>
      </c>
      <c r="BB30" s="32">
        <f t="shared" si="14"/>
        <v>0</v>
      </c>
      <c r="BC30" s="32">
        <f t="shared" si="31"/>
        <v>0</v>
      </c>
      <c r="BD30" s="32">
        <f t="shared" si="32"/>
        <v>0</v>
      </c>
      <c r="BF30" s="32">
        <f t="shared" si="33"/>
        <v>0</v>
      </c>
      <c r="BG30" s="32">
        <f t="shared" si="15"/>
        <v>0</v>
      </c>
      <c r="BH30" s="32">
        <f t="shared" si="34"/>
        <v>0</v>
      </c>
      <c r="BI30" s="4">
        <f t="shared" si="35"/>
        <v>0</v>
      </c>
      <c r="BJ30" s="32">
        <f t="shared" si="36"/>
        <v>0</v>
      </c>
      <c r="BK30" s="4">
        <f t="shared" si="37"/>
        <v>0</v>
      </c>
      <c r="BL30" s="32">
        <f t="shared" si="38"/>
        <v>0</v>
      </c>
      <c r="BM30" s="4">
        <f t="shared" si="39"/>
        <v>0</v>
      </c>
      <c r="BN30" s="32">
        <f t="shared" si="40"/>
        <v>0</v>
      </c>
      <c r="BO30" s="4">
        <f t="shared" si="41"/>
        <v>0</v>
      </c>
      <c r="BP30" s="32">
        <f t="shared" si="42"/>
        <v>0</v>
      </c>
      <c r="BQ30" s="32">
        <f t="shared" si="43"/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</row>
    <row r="31" spans="1:121" x14ac:dyDescent="0.35">
      <c r="A31" s="84">
        <f>'2017 Prop share of contribs'!A27</f>
        <v>22</v>
      </c>
      <c r="B31" s="84" t="str">
        <f>'2017 Prop share of contribs'!B27</f>
        <v xml:space="preserve">CARTER COUNTY SCHOOLS  </v>
      </c>
      <c r="C31" s="25" t="s">
        <v>142</v>
      </c>
      <c r="D31" s="33">
        <f>ROUND('Employer Allocations'!G70,8)</f>
        <v>0</v>
      </c>
      <c r="E31" s="4">
        <f>ROUND('Employer Allocations'!H70,8)</f>
        <v>5.4899500000000004E-3</v>
      </c>
      <c r="F31" s="4">
        <f>ROUND('Employer Allocations'!I70,8)</f>
        <v>5.4899500000000004E-3</v>
      </c>
      <c r="G31" s="4">
        <v>0</v>
      </c>
      <c r="H31" s="4">
        <v>5.7271700000000002E-3</v>
      </c>
      <c r="I31" s="4">
        <v>5.7271700000000002E-3</v>
      </c>
      <c r="J31" s="7">
        <f t="shared" si="5"/>
        <v>0</v>
      </c>
      <c r="K31" s="7">
        <f t="shared" si="6"/>
        <v>148133916</v>
      </c>
      <c r="L31" s="7">
        <f t="shared" si="16"/>
        <v>148133916</v>
      </c>
      <c r="M31" s="7"/>
      <c r="N31" s="7">
        <f t="shared" si="7"/>
        <v>0</v>
      </c>
      <c r="O31" s="32">
        <f t="shared" si="8"/>
        <v>0</v>
      </c>
      <c r="P31" s="32"/>
      <c r="Q31" s="32">
        <f t="shared" si="9"/>
        <v>10544863</v>
      </c>
      <c r="R31" s="32">
        <f t="shared" si="17"/>
        <v>10544863</v>
      </c>
      <c r="S31" s="32">
        <f t="shared" si="18"/>
        <v>0</v>
      </c>
      <c r="T31" s="32">
        <f t="shared" si="10"/>
        <v>0</v>
      </c>
      <c r="U31" s="32">
        <f t="shared" si="45"/>
        <v>0</v>
      </c>
      <c r="V31" s="32">
        <f t="shared" si="45"/>
        <v>0</v>
      </c>
      <c r="W31" s="32">
        <f t="shared" si="45"/>
        <v>0</v>
      </c>
      <c r="X31" s="32">
        <f t="shared" si="19"/>
        <v>0</v>
      </c>
      <c r="Y31" s="32"/>
      <c r="Z31" s="32">
        <f t="shared" si="45"/>
        <v>0</v>
      </c>
      <c r="AA31" s="32">
        <f t="shared" si="45"/>
        <v>0</v>
      </c>
      <c r="AB31" s="32">
        <f t="shared" si="45"/>
        <v>0</v>
      </c>
      <c r="AC31" s="32">
        <f t="shared" si="20"/>
        <v>0</v>
      </c>
      <c r="AD31" s="32"/>
      <c r="AE31" s="32">
        <f t="shared" si="45"/>
        <v>0</v>
      </c>
      <c r="AF31" s="32">
        <f t="shared" si="45"/>
        <v>0</v>
      </c>
      <c r="AG31" s="32">
        <f t="shared" si="45"/>
        <v>0</v>
      </c>
      <c r="AH31" s="32">
        <f t="shared" si="45"/>
        <v>0</v>
      </c>
      <c r="AI31" s="32">
        <f t="shared" si="45"/>
        <v>0</v>
      </c>
      <c r="AJ31" s="32">
        <f t="shared" si="44"/>
        <v>0</v>
      </c>
      <c r="AK31" s="7">
        <v>0</v>
      </c>
      <c r="AL31" s="32">
        <v>0</v>
      </c>
      <c r="AM31" s="32"/>
      <c r="AN31" s="4">
        <v>0</v>
      </c>
      <c r="AO31" s="32">
        <f t="shared" si="21"/>
        <v>0</v>
      </c>
      <c r="AP31" s="32">
        <f t="shared" si="22"/>
        <v>0</v>
      </c>
      <c r="AS31" s="32">
        <f t="shared" si="23"/>
        <v>0</v>
      </c>
      <c r="AT31" s="32">
        <f t="shared" si="13"/>
        <v>0</v>
      </c>
      <c r="AU31" s="32">
        <f t="shared" si="24"/>
        <v>0</v>
      </c>
      <c r="AV31" s="4">
        <f t="shared" si="25"/>
        <v>0</v>
      </c>
      <c r="AW31" s="32">
        <f t="shared" si="26"/>
        <v>0</v>
      </c>
      <c r="AX31" s="4">
        <f t="shared" si="27"/>
        <v>0</v>
      </c>
      <c r="AY31" s="32">
        <f t="shared" si="28"/>
        <v>0</v>
      </c>
      <c r="AZ31" s="4">
        <f t="shared" si="29"/>
        <v>0</v>
      </c>
      <c r="BA31" s="32">
        <f t="shared" si="30"/>
        <v>0</v>
      </c>
      <c r="BB31" s="32">
        <f t="shared" si="14"/>
        <v>0</v>
      </c>
      <c r="BC31" s="32">
        <f t="shared" si="31"/>
        <v>0</v>
      </c>
      <c r="BD31" s="32">
        <f t="shared" si="32"/>
        <v>0</v>
      </c>
      <c r="BF31" s="32">
        <f t="shared" si="33"/>
        <v>0</v>
      </c>
      <c r="BG31" s="32">
        <f t="shared" si="15"/>
        <v>0</v>
      </c>
      <c r="BH31" s="32">
        <f t="shared" si="34"/>
        <v>0</v>
      </c>
      <c r="BI31" s="4">
        <f t="shared" si="35"/>
        <v>0</v>
      </c>
      <c r="BJ31" s="32">
        <f t="shared" si="36"/>
        <v>0</v>
      </c>
      <c r="BK31" s="4">
        <f t="shared" si="37"/>
        <v>0</v>
      </c>
      <c r="BL31" s="32">
        <f t="shared" si="38"/>
        <v>0</v>
      </c>
      <c r="BM31" s="4">
        <f t="shared" si="39"/>
        <v>0</v>
      </c>
      <c r="BN31" s="32">
        <f t="shared" si="40"/>
        <v>0</v>
      </c>
      <c r="BO31" s="4">
        <f t="shared" si="41"/>
        <v>0</v>
      </c>
      <c r="BP31" s="32">
        <f t="shared" si="42"/>
        <v>0</v>
      </c>
      <c r="BQ31" s="32">
        <f t="shared" si="43"/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</row>
    <row r="32" spans="1:121" x14ac:dyDescent="0.35">
      <c r="A32" s="84">
        <f>'2017 Prop share of contribs'!A28</f>
        <v>23</v>
      </c>
      <c r="B32" s="84" t="str">
        <f>'2017 Prop share of contribs'!B28</f>
        <v xml:space="preserve">CASEY COUNTY SCHOOLS  </v>
      </c>
      <c r="C32" s="25" t="s">
        <v>143</v>
      </c>
      <c r="D32" s="33">
        <f>ROUND('Employer Allocations'!G71,8)</f>
        <v>0</v>
      </c>
      <c r="E32" s="4">
        <f>ROUND('Employer Allocations'!H71,8)</f>
        <v>2.7150899999999999E-3</v>
      </c>
      <c r="F32" s="4">
        <f>ROUND('Employer Allocations'!I71,8)</f>
        <v>2.7150899999999999E-3</v>
      </c>
      <c r="G32" s="4">
        <v>0</v>
      </c>
      <c r="H32" s="4">
        <v>2.7216300000000001E-3</v>
      </c>
      <c r="I32" s="4">
        <v>2.7216300000000001E-3</v>
      </c>
      <c r="J32" s="7">
        <f t="shared" si="5"/>
        <v>0</v>
      </c>
      <c r="K32" s="7">
        <f t="shared" si="6"/>
        <v>73260579</v>
      </c>
      <c r="L32" s="7">
        <f t="shared" si="16"/>
        <v>73260579</v>
      </c>
      <c r="M32" s="7"/>
      <c r="N32" s="7">
        <f t="shared" si="7"/>
        <v>0</v>
      </c>
      <c r="O32" s="32">
        <f t="shared" si="8"/>
        <v>0</v>
      </c>
      <c r="P32" s="32"/>
      <c r="Q32" s="32">
        <f t="shared" si="9"/>
        <v>5215030</v>
      </c>
      <c r="R32" s="32">
        <f t="shared" si="17"/>
        <v>5215030</v>
      </c>
      <c r="S32" s="32">
        <f t="shared" si="18"/>
        <v>0</v>
      </c>
      <c r="T32" s="32">
        <f t="shared" si="10"/>
        <v>0</v>
      </c>
      <c r="U32" s="32">
        <f t="shared" si="45"/>
        <v>0</v>
      </c>
      <c r="V32" s="32">
        <f t="shared" si="45"/>
        <v>0</v>
      </c>
      <c r="W32" s="32">
        <f t="shared" si="45"/>
        <v>0</v>
      </c>
      <c r="X32" s="32">
        <f t="shared" si="19"/>
        <v>0</v>
      </c>
      <c r="Y32" s="32"/>
      <c r="Z32" s="32">
        <f t="shared" si="45"/>
        <v>0</v>
      </c>
      <c r="AA32" s="32">
        <f t="shared" si="45"/>
        <v>0</v>
      </c>
      <c r="AB32" s="32">
        <f t="shared" si="45"/>
        <v>0</v>
      </c>
      <c r="AC32" s="32">
        <f t="shared" si="20"/>
        <v>0</v>
      </c>
      <c r="AD32" s="32"/>
      <c r="AE32" s="32">
        <f t="shared" si="45"/>
        <v>0</v>
      </c>
      <c r="AF32" s="32">
        <f t="shared" si="45"/>
        <v>0</v>
      </c>
      <c r="AG32" s="32">
        <f t="shared" si="45"/>
        <v>0</v>
      </c>
      <c r="AH32" s="32">
        <f t="shared" si="45"/>
        <v>0</v>
      </c>
      <c r="AI32" s="32">
        <f t="shared" si="45"/>
        <v>0</v>
      </c>
      <c r="AJ32" s="32">
        <f t="shared" si="44"/>
        <v>0</v>
      </c>
      <c r="AK32" s="7">
        <v>0</v>
      </c>
      <c r="AL32" s="32">
        <v>0</v>
      </c>
      <c r="AM32" s="32"/>
      <c r="AN32" s="4">
        <v>0</v>
      </c>
      <c r="AO32" s="32">
        <f t="shared" si="21"/>
        <v>0</v>
      </c>
      <c r="AP32" s="32">
        <f t="shared" si="22"/>
        <v>0</v>
      </c>
      <c r="AS32" s="32">
        <f t="shared" si="23"/>
        <v>0</v>
      </c>
      <c r="AT32" s="32">
        <f t="shared" si="13"/>
        <v>0</v>
      </c>
      <c r="AU32" s="32">
        <f t="shared" si="24"/>
        <v>0</v>
      </c>
      <c r="AV32" s="4">
        <f t="shared" si="25"/>
        <v>0</v>
      </c>
      <c r="AW32" s="32">
        <f t="shared" si="26"/>
        <v>0</v>
      </c>
      <c r="AX32" s="4">
        <f t="shared" si="27"/>
        <v>0</v>
      </c>
      <c r="AY32" s="32">
        <f t="shared" si="28"/>
        <v>0</v>
      </c>
      <c r="AZ32" s="4">
        <f t="shared" si="29"/>
        <v>0</v>
      </c>
      <c r="BA32" s="32">
        <f t="shared" si="30"/>
        <v>0</v>
      </c>
      <c r="BB32" s="32">
        <f t="shared" si="14"/>
        <v>0</v>
      </c>
      <c r="BC32" s="32">
        <f t="shared" si="31"/>
        <v>0</v>
      </c>
      <c r="BD32" s="32">
        <f t="shared" si="32"/>
        <v>0</v>
      </c>
      <c r="BF32" s="32">
        <f t="shared" si="33"/>
        <v>0</v>
      </c>
      <c r="BG32" s="32">
        <f t="shared" si="15"/>
        <v>0</v>
      </c>
      <c r="BH32" s="32">
        <f t="shared" si="34"/>
        <v>0</v>
      </c>
      <c r="BI32" s="4">
        <f t="shared" si="35"/>
        <v>0</v>
      </c>
      <c r="BJ32" s="32">
        <f t="shared" si="36"/>
        <v>0</v>
      </c>
      <c r="BK32" s="4">
        <f t="shared" si="37"/>
        <v>0</v>
      </c>
      <c r="BL32" s="32">
        <f t="shared" si="38"/>
        <v>0</v>
      </c>
      <c r="BM32" s="4">
        <f t="shared" si="39"/>
        <v>0</v>
      </c>
      <c r="BN32" s="32">
        <f t="shared" si="40"/>
        <v>0</v>
      </c>
      <c r="BO32" s="4">
        <f t="shared" si="41"/>
        <v>0</v>
      </c>
      <c r="BP32" s="32">
        <f t="shared" si="42"/>
        <v>0</v>
      </c>
      <c r="BQ32" s="32">
        <f t="shared" si="43"/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</row>
    <row r="33" spans="1:121" x14ac:dyDescent="0.35">
      <c r="A33" s="84">
        <f>'2017 Prop share of contribs'!A29</f>
        <v>24</v>
      </c>
      <c r="B33" s="84" t="str">
        <f>'2017 Prop share of contribs'!B29</f>
        <v xml:space="preserve">CHRISTIAN COUNTY SCHOOLS  </v>
      </c>
      <c r="C33" s="25" t="s">
        <v>144</v>
      </c>
      <c r="D33" s="33">
        <f>ROUND('Employer Allocations'!G72,8)</f>
        <v>0</v>
      </c>
      <c r="E33" s="4">
        <f>ROUND('Employer Allocations'!H72,8)</f>
        <v>1.0898659999999999E-2</v>
      </c>
      <c r="F33" s="4">
        <f>ROUND('Employer Allocations'!I72,8)</f>
        <v>1.0898659999999999E-2</v>
      </c>
      <c r="G33" s="4">
        <v>0</v>
      </c>
      <c r="H33" s="4">
        <v>1.1078259999999999E-2</v>
      </c>
      <c r="I33" s="4">
        <v>1.1078259999999999E-2</v>
      </c>
      <c r="J33" s="7">
        <f t="shared" si="5"/>
        <v>0</v>
      </c>
      <c r="K33" s="7">
        <f t="shared" si="6"/>
        <v>294075755</v>
      </c>
      <c r="L33" s="7">
        <f t="shared" si="16"/>
        <v>294075755</v>
      </c>
      <c r="M33" s="7"/>
      <c r="N33" s="7">
        <f t="shared" si="7"/>
        <v>0</v>
      </c>
      <c r="O33" s="32">
        <f t="shared" si="8"/>
        <v>0</v>
      </c>
      <c r="P33" s="32"/>
      <c r="Q33" s="32">
        <f t="shared" si="9"/>
        <v>20933685</v>
      </c>
      <c r="R33" s="32">
        <f t="shared" si="17"/>
        <v>20933685</v>
      </c>
      <c r="S33" s="32">
        <f t="shared" si="18"/>
        <v>0</v>
      </c>
      <c r="T33" s="32">
        <f t="shared" si="10"/>
        <v>0</v>
      </c>
      <c r="U33" s="32">
        <f t="shared" si="45"/>
        <v>0</v>
      </c>
      <c r="V33" s="32">
        <f t="shared" si="45"/>
        <v>0</v>
      </c>
      <c r="W33" s="32">
        <f t="shared" si="45"/>
        <v>0</v>
      </c>
      <c r="X33" s="32">
        <f t="shared" si="19"/>
        <v>0</v>
      </c>
      <c r="Y33" s="32"/>
      <c r="Z33" s="32">
        <f t="shared" si="45"/>
        <v>0</v>
      </c>
      <c r="AA33" s="32">
        <f t="shared" si="45"/>
        <v>0</v>
      </c>
      <c r="AB33" s="32">
        <f t="shared" si="45"/>
        <v>0</v>
      </c>
      <c r="AC33" s="32">
        <f t="shared" si="20"/>
        <v>0</v>
      </c>
      <c r="AD33" s="32"/>
      <c r="AE33" s="32">
        <f t="shared" si="45"/>
        <v>0</v>
      </c>
      <c r="AF33" s="32">
        <f t="shared" si="45"/>
        <v>0</v>
      </c>
      <c r="AG33" s="32">
        <f t="shared" si="45"/>
        <v>0</v>
      </c>
      <c r="AH33" s="32">
        <f t="shared" si="45"/>
        <v>0</v>
      </c>
      <c r="AI33" s="32">
        <f t="shared" si="45"/>
        <v>0</v>
      </c>
      <c r="AJ33" s="32">
        <f t="shared" si="44"/>
        <v>0</v>
      </c>
      <c r="AK33" s="7">
        <v>0</v>
      </c>
      <c r="AL33" s="32">
        <v>0</v>
      </c>
      <c r="AM33" s="32"/>
      <c r="AN33" s="4">
        <v>0</v>
      </c>
      <c r="AO33" s="32">
        <f t="shared" si="21"/>
        <v>0</v>
      </c>
      <c r="AP33" s="32">
        <f t="shared" si="22"/>
        <v>0</v>
      </c>
      <c r="AS33" s="32">
        <f t="shared" si="23"/>
        <v>0</v>
      </c>
      <c r="AT33" s="32">
        <f t="shared" si="13"/>
        <v>0</v>
      </c>
      <c r="AU33" s="32">
        <f t="shared" si="24"/>
        <v>0</v>
      </c>
      <c r="AV33" s="4">
        <f t="shared" si="25"/>
        <v>0</v>
      </c>
      <c r="AW33" s="32">
        <f t="shared" si="26"/>
        <v>0</v>
      </c>
      <c r="AX33" s="4">
        <f t="shared" si="27"/>
        <v>0</v>
      </c>
      <c r="AY33" s="32">
        <f t="shared" si="28"/>
        <v>0</v>
      </c>
      <c r="AZ33" s="4">
        <f t="shared" si="29"/>
        <v>0</v>
      </c>
      <c r="BA33" s="32">
        <f t="shared" si="30"/>
        <v>0</v>
      </c>
      <c r="BB33" s="32">
        <f t="shared" si="14"/>
        <v>0</v>
      </c>
      <c r="BC33" s="32">
        <f t="shared" si="31"/>
        <v>0</v>
      </c>
      <c r="BD33" s="32">
        <f t="shared" si="32"/>
        <v>0</v>
      </c>
      <c r="BF33" s="32">
        <f t="shared" si="33"/>
        <v>0</v>
      </c>
      <c r="BG33" s="32">
        <f t="shared" si="15"/>
        <v>0</v>
      </c>
      <c r="BH33" s="32">
        <f t="shared" si="34"/>
        <v>0</v>
      </c>
      <c r="BI33" s="4">
        <f t="shared" si="35"/>
        <v>0</v>
      </c>
      <c r="BJ33" s="32">
        <f t="shared" si="36"/>
        <v>0</v>
      </c>
      <c r="BK33" s="4">
        <f t="shared" si="37"/>
        <v>0</v>
      </c>
      <c r="BL33" s="32">
        <f t="shared" si="38"/>
        <v>0</v>
      </c>
      <c r="BM33" s="4">
        <f t="shared" si="39"/>
        <v>0</v>
      </c>
      <c r="BN33" s="32">
        <f t="shared" si="40"/>
        <v>0</v>
      </c>
      <c r="BO33" s="4">
        <f t="shared" si="41"/>
        <v>0</v>
      </c>
      <c r="BP33" s="32">
        <f t="shared" si="42"/>
        <v>0</v>
      </c>
      <c r="BQ33" s="32">
        <f t="shared" si="43"/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</row>
    <row r="34" spans="1:121" x14ac:dyDescent="0.35">
      <c r="A34" s="84">
        <f>'2017 Prop share of contribs'!A30</f>
        <v>25</v>
      </c>
      <c r="B34" s="84" t="str">
        <f>'2017 Prop share of contribs'!B30</f>
        <v xml:space="preserve">CLARK COUNTY SCHOOLS  </v>
      </c>
      <c r="C34" s="25" t="s">
        <v>145</v>
      </c>
      <c r="D34" s="33">
        <f>ROUND('Employer Allocations'!G73,8)</f>
        <v>0</v>
      </c>
      <c r="E34" s="4">
        <f>ROUND('Employer Allocations'!H73,8)</f>
        <v>7.0301499999999998E-3</v>
      </c>
      <c r="F34" s="4">
        <f>ROUND('Employer Allocations'!I73,8)</f>
        <v>7.0301499999999998E-3</v>
      </c>
      <c r="G34" s="4">
        <v>0</v>
      </c>
      <c r="H34" s="4">
        <v>7.0871900000000002E-3</v>
      </c>
      <c r="I34" s="4">
        <v>7.0871900000000002E-3</v>
      </c>
      <c r="J34" s="7">
        <f t="shared" si="5"/>
        <v>0</v>
      </c>
      <c r="K34" s="7">
        <f t="shared" si="6"/>
        <v>189692739</v>
      </c>
      <c r="L34" s="7">
        <f t="shared" si="16"/>
        <v>189692739</v>
      </c>
      <c r="M34" s="7"/>
      <c r="N34" s="7">
        <f t="shared" si="7"/>
        <v>0</v>
      </c>
      <c r="O34" s="32">
        <f t="shared" si="8"/>
        <v>0</v>
      </c>
      <c r="P34" s="32"/>
      <c r="Q34" s="32">
        <f t="shared" si="9"/>
        <v>13503214</v>
      </c>
      <c r="R34" s="32">
        <f t="shared" si="17"/>
        <v>13503214</v>
      </c>
      <c r="S34" s="32">
        <f t="shared" si="18"/>
        <v>0</v>
      </c>
      <c r="T34" s="32">
        <f t="shared" si="10"/>
        <v>0</v>
      </c>
      <c r="U34" s="32">
        <f t="shared" si="45"/>
        <v>0</v>
      </c>
      <c r="V34" s="32">
        <f t="shared" si="45"/>
        <v>0</v>
      </c>
      <c r="W34" s="32">
        <f t="shared" si="45"/>
        <v>0</v>
      </c>
      <c r="X34" s="32">
        <f t="shared" si="19"/>
        <v>0</v>
      </c>
      <c r="Y34" s="32"/>
      <c r="Z34" s="32">
        <f t="shared" si="45"/>
        <v>0</v>
      </c>
      <c r="AA34" s="32">
        <f t="shared" si="45"/>
        <v>0</v>
      </c>
      <c r="AB34" s="32">
        <f t="shared" si="45"/>
        <v>0</v>
      </c>
      <c r="AC34" s="32">
        <f t="shared" si="20"/>
        <v>0</v>
      </c>
      <c r="AD34" s="32"/>
      <c r="AE34" s="32">
        <f t="shared" si="45"/>
        <v>0</v>
      </c>
      <c r="AF34" s="32">
        <f t="shared" si="45"/>
        <v>0</v>
      </c>
      <c r="AG34" s="32">
        <f t="shared" si="45"/>
        <v>0</v>
      </c>
      <c r="AH34" s="32">
        <f t="shared" si="45"/>
        <v>0</v>
      </c>
      <c r="AI34" s="32">
        <f t="shared" si="45"/>
        <v>0</v>
      </c>
      <c r="AJ34" s="32">
        <f t="shared" si="44"/>
        <v>0</v>
      </c>
      <c r="AK34" s="7">
        <v>0</v>
      </c>
      <c r="AL34" s="32">
        <v>0</v>
      </c>
      <c r="AM34" s="32"/>
      <c r="AN34" s="4">
        <v>0</v>
      </c>
      <c r="AO34" s="32">
        <f t="shared" si="21"/>
        <v>0</v>
      </c>
      <c r="AP34" s="32">
        <f t="shared" si="22"/>
        <v>0</v>
      </c>
      <c r="AS34" s="32">
        <f t="shared" si="23"/>
        <v>0</v>
      </c>
      <c r="AT34" s="32">
        <f t="shared" si="13"/>
        <v>0</v>
      </c>
      <c r="AU34" s="32">
        <f t="shared" si="24"/>
        <v>0</v>
      </c>
      <c r="AV34" s="4">
        <f t="shared" si="25"/>
        <v>0</v>
      </c>
      <c r="AW34" s="32">
        <f t="shared" si="26"/>
        <v>0</v>
      </c>
      <c r="AX34" s="4">
        <f t="shared" si="27"/>
        <v>0</v>
      </c>
      <c r="AY34" s="32">
        <f t="shared" si="28"/>
        <v>0</v>
      </c>
      <c r="AZ34" s="4">
        <f t="shared" si="29"/>
        <v>0</v>
      </c>
      <c r="BA34" s="32">
        <f t="shared" si="30"/>
        <v>0</v>
      </c>
      <c r="BB34" s="32">
        <f t="shared" si="14"/>
        <v>0</v>
      </c>
      <c r="BC34" s="32">
        <f t="shared" si="31"/>
        <v>0</v>
      </c>
      <c r="BD34" s="32">
        <f t="shared" si="32"/>
        <v>0</v>
      </c>
      <c r="BF34" s="32">
        <f t="shared" si="33"/>
        <v>0</v>
      </c>
      <c r="BG34" s="32">
        <f t="shared" si="15"/>
        <v>0</v>
      </c>
      <c r="BH34" s="32">
        <f t="shared" si="34"/>
        <v>0</v>
      </c>
      <c r="BI34" s="4">
        <f t="shared" si="35"/>
        <v>0</v>
      </c>
      <c r="BJ34" s="32">
        <f t="shared" si="36"/>
        <v>0</v>
      </c>
      <c r="BK34" s="4">
        <f t="shared" si="37"/>
        <v>0</v>
      </c>
      <c r="BL34" s="32">
        <f t="shared" si="38"/>
        <v>0</v>
      </c>
      <c r="BM34" s="4">
        <f t="shared" si="39"/>
        <v>0</v>
      </c>
      <c r="BN34" s="32">
        <f t="shared" si="40"/>
        <v>0</v>
      </c>
      <c r="BO34" s="4">
        <f t="shared" si="41"/>
        <v>0</v>
      </c>
      <c r="BP34" s="32">
        <f t="shared" si="42"/>
        <v>0</v>
      </c>
      <c r="BQ34" s="32">
        <f t="shared" si="43"/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</row>
    <row r="35" spans="1:121" x14ac:dyDescent="0.35">
      <c r="A35" s="84">
        <f>'2017 Prop share of contribs'!A31</f>
        <v>26</v>
      </c>
      <c r="B35" s="84" t="str">
        <f>'2017 Prop share of contribs'!B31</f>
        <v xml:space="preserve">CLAY COUNTY SCHOOLS  </v>
      </c>
      <c r="C35" s="25" t="s">
        <v>146</v>
      </c>
      <c r="D35" s="33">
        <f>ROUND('Employer Allocations'!G74,8)</f>
        <v>0</v>
      </c>
      <c r="E35" s="4">
        <f>ROUND('Employer Allocations'!H74,8)</f>
        <v>4.3431399999999997E-3</v>
      </c>
      <c r="F35" s="4">
        <f>ROUND('Employer Allocations'!I74,8)</f>
        <v>4.3431399999999997E-3</v>
      </c>
      <c r="G35" s="4">
        <v>0</v>
      </c>
      <c r="H35" s="4">
        <v>4.4135800000000003E-3</v>
      </c>
      <c r="I35" s="4">
        <v>4.4135800000000003E-3</v>
      </c>
      <c r="J35" s="7">
        <f t="shared" si="5"/>
        <v>0</v>
      </c>
      <c r="K35" s="7">
        <f t="shared" si="6"/>
        <v>117189836</v>
      </c>
      <c r="L35" s="7">
        <f t="shared" si="16"/>
        <v>117189836</v>
      </c>
      <c r="M35" s="7"/>
      <c r="N35" s="7">
        <f t="shared" si="7"/>
        <v>0</v>
      </c>
      <c r="O35" s="32">
        <f t="shared" si="8"/>
        <v>0</v>
      </c>
      <c r="P35" s="32"/>
      <c r="Q35" s="32">
        <f t="shared" si="9"/>
        <v>8342119</v>
      </c>
      <c r="R35" s="32">
        <f t="shared" si="17"/>
        <v>8342119</v>
      </c>
      <c r="S35" s="32">
        <f t="shared" si="18"/>
        <v>0</v>
      </c>
      <c r="T35" s="32">
        <f t="shared" si="10"/>
        <v>0</v>
      </c>
      <c r="U35" s="32">
        <f t="shared" si="45"/>
        <v>0</v>
      </c>
      <c r="V35" s="32">
        <f t="shared" si="45"/>
        <v>0</v>
      </c>
      <c r="W35" s="32">
        <f t="shared" si="45"/>
        <v>0</v>
      </c>
      <c r="X35" s="32">
        <f t="shared" si="19"/>
        <v>0</v>
      </c>
      <c r="Y35" s="32"/>
      <c r="Z35" s="32">
        <f t="shared" si="45"/>
        <v>0</v>
      </c>
      <c r="AA35" s="32">
        <f t="shared" si="45"/>
        <v>0</v>
      </c>
      <c r="AB35" s="32">
        <f t="shared" si="45"/>
        <v>0</v>
      </c>
      <c r="AC35" s="32">
        <f t="shared" si="20"/>
        <v>0</v>
      </c>
      <c r="AD35" s="32"/>
      <c r="AE35" s="32">
        <f t="shared" si="45"/>
        <v>0</v>
      </c>
      <c r="AF35" s="32">
        <f t="shared" si="45"/>
        <v>0</v>
      </c>
      <c r="AG35" s="32">
        <f t="shared" si="45"/>
        <v>0</v>
      </c>
      <c r="AH35" s="32">
        <f t="shared" si="45"/>
        <v>0</v>
      </c>
      <c r="AI35" s="32">
        <f t="shared" si="45"/>
        <v>0</v>
      </c>
      <c r="AJ35" s="32">
        <f t="shared" si="44"/>
        <v>0</v>
      </c>
      <c r="AK35" s="7">
        <v>0</v>
      </c>
      <c r="AL35" s="32">
        <v>0</v>
      </c>
      <c r="AM35" s="32"/>
      <c r="AN35" s="4">
        <v>0</v>
      </c>
      <c r="AO35" s="32">
        <f t="shared" si="21"/>
        <v>0</v>
      </c>
      <c r="AP35" s="32">
        <f t="shared" si="22"/>
        <v>0</v>
      </c>
      <c r="AS35" s="32">
        <f t="shared" si="23"/>
        <v>0</v>
      </c>
      <c r="AT35" s="32">
        <f t="shared" si="13"/>
        <v>0</v>
      </c>
      <c r="AU35" s="32">
        <f t="shared" si="24"/>
        <v>0</v>
      </c>
      <c r="AV35" s="4">
        <f t="shared" si="25"/>
        <v>0</v>
      </c>
      <c r="AW35" s="32">
        <f t="shared" si="26"/>
        <v>0</v>
      </c>
      <c r="AX35" s="4">
        <f t="shared" si="27"/>
        <v>0</v>
      </c>
      <c r="AY35" s="32">
        <f t="shared" si="28"/>
        <v>0</v>
      </c>
      <c r="AZ35" s="4">
        <f t="shared" si="29"/>
        <v>0</v>
      </c>
      <c r="BA35" s="32">
        <f t="shared" si="30"/>
        <v>0</v>
      </c>
      <c r="BB35" s="32">
        <f t="shared" si="14"/>
        <v>0</v>
      </c>
      <c r="BC35" s="32">
        <f t="shared" si="31"/>
        <v>0</v>
      </c>
      <c r="BD35" s="32">
        <f t="shared" si="32"/>
        <v>0</v>
      </c>
      <c r="BF35" s="32">
        <f t="shared" si="33"/>
        <v>0</v>
      </c>
      <c r="BG35" s="32">
        <f t="shared" si="15"/>
        <v>0</v>
      </c>
      <c r="BH35" s="32">
        <f t="shared" si="34"/>
        <v>0</v>
      </c>
      <c r="BI35" s="4">
        <f t="shared" si="35"/>
        <v>0</v>
      </c>
      <c r="BJ35" s="32">
        <f t="shared" si="36"/>
        <v>0</v>
      </c>
      <c r="BK35" s="4">
        <f t="shared" si="37"/>
        <v>0</v>
      </c>
      <c r="BL35" s="32">
        <f t="shared" si="38"/>
        <v>0</v>
      </c>
      <c r="BM35" s="4">
        <f t="shared" si="39"/>
        <v>0</v>
      </c>
      <c r="BN35" s="32">
        <f t="shared" si="40"/>
        <v>0</v>
      </c>
      <c r="BO35" s="4">
        <f t="shared" si="41"/>
        <v>0</v>
      </c>
      <c r="BP35" s="32">
        <f t="shared" si="42"/>
        <v>0</v>
      </c>
      <c r="BQ35" s="32">
        <f t="shared" si="43"/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O35" s="4">
        <v>0</v>
      </c>
      <c r="DP35" s="4">
        <v>0</v>
      </c>
      <c r="DQ35" s="4">
        <v>0</v>
      </c>
    </row>
    <row r="36" spans="1:121" x14ac:dyDescent="0.35">
      <c r="A36" s="84">
        <f>'2017 Prop share of contribs'!A32</f>
        <v>27</v>
      </c>
      <c r="B36" s="84" t="str">
        <f>'2017 Prop share of contribs'!B32</f>
        <v xml:space="preserve">CLINTON COUNTY SCHOOLS  </v>
      </c>
      <c r="C36" s="25" t="s">
        <v>147</v>
      </c>
      <c r="D36" s="33">
        <f>ROUND('Employer Allocations'!G75,8)</f>
        <v>0</v>
      </c>
      <c r="E36" s="4">
        <f>ROUND('Employer Allocations'!H75,8)</f>
        <v>2.2754400000000001E-3</v>
      </c>
      <c r="F36" s="4">
        <f>ROUND('Employer Allocations'!I75,8)</f>
        <v>2.2754400000000001E-3</v>
      </c>
      <c r="G36" s="4">
        <v>0</v>
      </c>
      <c r="H36" s="4">
        <v>2.25421E-3</v>
      </c>
      <c r="I36" s="4">
        <v>2.25421E-3</v>
      </c>
      <c r="J36" s="7">
        <f t="shared" si="5"/>
        <v>0</v>
      </c>
      <c r="K36" s="7">
        <f t="shared" si="6"/>
        <v>61397615</v>
      </c>
      <c r="L36" s="7">
        <f t="shared" si="16"/>
        <v>61397615</v>
      </c>
      <c r="M36" s="7"/>
      <c r="N36" s="7">
        <f t="shared" si="7"/>
        <v>0</v>
      </c>
      <c r="O36" s="32">
        <f t="shared" si="8"/>
        <v>0</v>
      </c>
      <c r="P36" s="32"/>
      <c r="Q36" s="32">
        <f t="shared" si="9"/>
        <v>4370569</v>
      </c>
      <c r="R36" s="32">
        <f t="shared" si="17"/>
        <v>4370569</v>
      </c>
      <c r="S36" s="32">
        <f t="shared" si="18"/>
        <v>0</v>
      </c>
      <c r="T36" s="32">
        <f t="shared" si="10"/>
        <v>0</v>
      </c>
      <c r="U36" s="32">
        <f t="shared" si="45"/>
        <v>0</v>
      </c>
      <c r="V36" s="32">
        <f t="shared" si="45"/>
        <v>0</v>
      </c>
      <c r="W36" s="32">
        <f t="shared" si="45"/>
        <v>0</v>
      </c>
      <c r="X36" s="32">
        <f t="shared" si="19"/>
        <v>0</v>
      </c>
      <c r="Y36" s="32"/>
      <c r="Z36" s="32">
        <f t="shared" si="45"/>
        <v>0</v>
      </c>
      <c r="AA36" s="32">
        <f t="shared" si="45"/>
        <v>0</v>
      </c>
      <c r="AB36" s="32">
        <f t="shared" si="45"/>
        <v>0</v>
      </c>
      <c r="AC36" s="32">
        <f t="shared" si="20"/>
        <v>0</v>
      </c>
      <c r="AD36" s="32"/>
      <c r="AE36" s="32">
        <f t="shared" si="45"/>
        <v>0</v>
      </c>
      <c r="AF36" s="32">
        <f t="shared" si="45"/>
        <v>0</v>
      </c>
      <c r="AG36" s="32">
        <f t="shared" si="45"/>
        <v>0</v>
      </c>
      <c r="AH36" s="32">
        <f t="shared" si="45"/>
        <v>0</v>
      </c>
      <c r="AI36" s="32">
        <f t="shared" si="45"/>
        <v>0</v>
      </c>
      <c r="AJ36" s="32">
        <f t="shared" si="45"/>
        <v>0</v>
      </c>
      <c r="AK36" s="7">
        <v>0</v>
      </c>
      <c r="AL36" s="32">
        <v>0</v>
      </c>
      <c r="AM36" s="32"/>
      <c r="AN36" s="4">
        <v>0</v>
      </c>
      <c r="AO36" s="32">
        <f t="shared" si="21"/>
        <v>0</v>
      </c>
      <c r="AP36" s="32">
        <f t="shared" si="22"/>
        <v>0</v>
      </c>
      <c r="AS36" s="32">
        <f t="shared" si="23"/>
        <v>0</v>
      </c>
      <c r="AT36" s="32">
        <f t="shared" si="13"/>
        <v>0</v>
      </c>
      <c r="AU36" s="32">
        <f t="shared" si="24"/>
        <v>0</v>
      </c>
      <c r="AV36" s="4">
        <f t="shared" si="25"/>
        <v>0</v>
      </c>
      <c r="AW36" s="32">
        <f t="shared" si="26"/>
        <v>0</v>
      </c>
      <c r="AX36" s="4">
        <f t="shared" si="27"/>
        <v>0</v>
      </c>
      <c r="AY36" s="32">
        <f t="shared" si="28"/>
        <v>0</v>
      </c>
      <c r="AZ36" s="4">
        <f t="shared" si="29"/>
        <v>0</v>
      </c>
      <c r="BA36" s="32">
        <f t="shared" si="30"/>
        <v>0</v>
      </c>
      <c r="BB36" s="32">
        <f t="shared" si="14"/>
        <v>0</v>
      </c>
      <c r="BC36" s="32">
        <f t="shared" si="31"/>
        <v>0</v>
      </c>
      <c r="BD36" s="32">
        <f t="shared" si="32"/>
        <v>0</v>
      </c>
      <c r="BF36" s="32">
        <f t="shared" si="33"/>
        <v>0</v>
      </c>
      <c r="BG36" s="32">
        <f t="shared" si="15"/>
        <v>0</v>
      </c>
      <c r="BH36" s="32">
        <f t="shared" si="34"/>
        <v>0</v>
      </c>
      <c r="BI36" s="4">
        <f t="shared" si="35"/>
        <v>0</v>
      </c>
      <c r="BJ36" s="32">
        <f t="shared" si="36"/>
        <v>0</v>
      </c>
      <c r="BK36" s="4">
        <f t="shared" si="37"/>
        <v>0</v>
      </c>
      <c r="BL36" s="32">
        <f t="shared" si="38"/>
        <v>0</v>
      </c>
      <c r="BM36" s="4">
        <f t="shared" si="39"/>
        <v>0</v>
      </c>
      <c r="BN36" s="32">
        <f t="shared" si="40"/>
        <v>0</v>
      </c>
      <c r="BO36" s="4">
        <f t="shared" si="41"/>
        <v>0</v>
      </c>
      <c r="BP36" s="32">
        <f t="shared" si="42"/>
        <v>0</v>
      </c>
      <c r="BQ36" s="32">
        <f t="shared" si="43"/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</row>
    <row r="37" spans="1:121" x14ac:dyDescent="0.35">
      <c r="A37" s="84">
        <f>'2017 Prop share of contribs'!A33</f>
        <v>28</v>
      </c>
      <c r="B37" s="84" t="str">
        <f>'2017 Prop share of contribs'!B33</f>
        <v xml:space="preserve">CRITTENDEN COUNTY SCHOOLS  </v>
      </c>
      <c r="C37" s="25" t="s">
        <v>148</v>
      </c>
      <c r="D37" s="33">
        <f>ROUND('Employer Allocations'!G76,8)</f>
        <v>0</v>
      </c>
      <c r="E37" s="4">
        <f>ROUND('Employer Allocations'!H76,8)</f>
        <v>1.60181E-3</v>
      </c>
      <c r="F37" s="4">
        <f>ROUND('Employer Allocations'!I76,8)</f>
        <v>1.60181E-3</v>
      </c>
      <c r="G37" s="4">
        <v>0</v>
      </c>
      <c r="H37" s="4">
        <v>1.6076599999999999E-3</v>
      </c>
      <c r="I37" s="4">
        <v>1.6076599999999999E-3</v>
      </c>
      <c r="J37" s="7">
        <f t="shared" si="5"/>
        <v>0</v>
      </c>
      <c r="K37" s="7">
        <f t="shared" si="6"/>
        <v>43221229</v>
      </c>
      <c r="L37" s="7">
        <f t="shared" si="16"/>
        <v>43221229</v>
      </c>
      <c r="M37" s="7"/>
      <c r="N37" s="7">
        <f t="shared" si="7"/>
        <v>0</v>
      </c>
      <c r="O37" s="32">
        <f t="shared" si="8"/>
        <v>0</v>
      </c>
      <c r="P37" s="32"/>
      <c r="Q37" s="32">
        <f t="shared" si="9"/>
        <v>3076689</v>
      </c>
      <c r="R37" s="32">
        <f t="shared" si="17"/>
        <v>3076689</v>
      </c>
      <c r="S37" s="32">
        <f t="shared" si="18"/>
        <v>0</v>
      </c>
      <c r="T37" s="32">
        <f t="shared" si="10"/>
        <v>0</v>
      </c>
      <c r="U37" s="32">
        <f t="shared" si="45"/>
        <v>0</v>
      </c>
      <c r="V37" s="32">
        <f t="shared" si="45"/>
        <v>0</v>
      </c>
      <c r="W37" s="32">
        <f t="shared" si="45"/>
        <v>0</v>
      </c>
      <c r="X37" s="32">
        <f t="shared" si="19"/>
        <v>0</v>
      </c>
      <c r="Y37" s="32"/>
      <c r="Z37" s="32">
        <f t="shared" si="45"/>
        <v>0</v>
      </c>
      <c r="AA37" s="32">
        <f t="shared" si="45"/>
        <v>0</v>
      </c>
      <c r="AB37" s="32">
        <f t="shared" si="45"/>
        <v>0</v>
      </c>
      <c r="AC37" s="32">
        <f t="shared" si="20"/>
        <v>0</v>
      </c>
      <c r="AD37" s="32"/>
      <c r="AE37" s="32">
        <f t="shared" si="45"/>
        <v>0</v>
      </c>
      <c r="AF37" s="32">
        <f t="shared" si="45"/>
        <v>0</v>
      </c>
      <c r="AG37" s="32">
        <f t="shared" si="45"/>
        <v>0</v>
      </c>
      <c r="AH37" s="32">
        <f t="shared" si="45"/>
        <v>0</v>
      </c>
      <c r="AI37" s="32">
        <f t="shared" si="45"/>
        <v>0</v>
      </c>
      <c r="AJ37" s="32">
        <f t="shared" si="45"/>
        <v>0</v>
      </c>
      <c r="AK37" s="7">
        <v>0</v>
      </c>
      <c r="AL37" s="32">
        <v>0</v>
      </c>
      <c r="AM37" s="32"/>
      <c r="AN37" s="4">
        <v>0</v>
      </c>
      <c r="AO37" s="32">
        <f t="shared" si="21"/>
        <v>0</v>
      </c>
      <c r="AP37" s="32">
        <f t="shared" si="22"/>
        <v>0</v>
      </c>
      <c r="AS37" s="32">
        <f t="shared" si="23"/>
        <v>0</v>
      </c>
      <c r="AT37" s="32">
        <f t="shared" si="13"/>
        <v>0</v>
      </c>
      <c r="AU37" s="32">
        <f t="shared" si="24"/>
        <v>0</v>
      </c>
      <c r="AV37" s="4">
        <f t="shared" si="25"/>
        <v>0</v>
      </c>
      <c r="AW37" s="32">
        <f t="shared" si="26"/>
        <v>0</v>
      </c>
      <c r="AX37" s="4">
        <f t="shared" si="27"/>
        <v>0</v>
      </c>
      <c r="AY37" s="32">
        <f t="shared" si="28"/>
        <v>0</v>
      </c>
      <c r="AZ37" s="4">
        <f t="shared" si="29"/>
        <v>0</v>
      </c>
      <c r="BA37" s="32">
        <f t="shared" si="30"/>
        <v>0</v>
      </c>
      <c r="BB37" s="32">
        <f t="shared" si="14"/>
        <v>0</v>
      </c>
      <c r="BC37" s="32">
        <f t="shared" si="31"/>
        <v>0</v>
      </c>
      <c r="BD37" s="32">
        <f t="shared" si="32"/>
        <v>0</v>
      </c>
      <c r="BF37" s="32">
        <f t="shared" si="33"/>
        <v>0</v>
      </c>
      <c r="BG37" s="32">
        <f t="shared" si="15"/>
        <v>0</v>
      </c>
      <c r="BH37" s="32">
        <f t="shared" si="34"/>
        <v>0</v>
      </c>
      <c r="BI37" s="4">
        <f t="shared" si="35"/>
        <v>0</v>
      </c>
      <c r="BJ37" s="32">
        <f t="shared" si="36"/>
        <v>0</v>
      </c>
      <c r="BK37" s="4">
        <f t="shared" si="37"/>
        <v>0</v>
      </c>
      <c r="BL37" s="32">
        <f t="shared" si="38"/>
        <v>0</v>
      </c>
      <c r="BM37" s="4">
        <f t="shared" si="39"/>
        <v>0</v>
      </c>
      <c r="BN37" s="32">
        <f t="shared" si="40"/>
        <v>0</v>
      </c>
      <c r="BO37" s="4">
        <f t="shared" si="41"/>
        <v>0</v>
      </c>
      <c r="BP37" s="32">
        <f t="shared" si="42"/>
        <v>0</v>
      </c>
      <c r="BQ37" s="32">
        <f t="shared" si="43"/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  <c r="DO37" s="4">
        <v>0</v>
      </c>
      <c r="DP37" s="4">
        <v>0</v>
      </c>
      <c r="DQ37" s="4">
        <v>0</v>
      </c>
    </row>
    <row r="38" spans="1:121" x14ac:dyDescent="0.35">
      <c r="A38" s="84">
        <f>'2017 Prop share of contribs'!A34</f>
        <v>29</v>
      </c>
      <c r="B38" s="84" t="str">
        <f>'2017 Prop share of contribs'!B34</f>
        <v xml:space="preserve">CUMBERLAND COUNTY SCHOOLS  </v>
      </c>
      <c r="C38" s="25" t="s">
        <v>149</v>
      </c>
      <c r="D38" s="33">
        <f>ROUND('Employer Allocations'!G77,8)</f>
        <v>0</v>
      </c>
      <c r="E38" s="4">
        <f>ROUND('Employer Allocations'!H77,8)</f>
        <v>1.1977999999999999E-3</v>
      </c>
      <c r="F38" s="4">
        <f>ROUND('Employer Allocations'!I77,8)</f>
        <v>1.1977999999999999E-3</v>
      </c>
      <c r="G38" s="4">
        <v>0</v>
      </c>
      <c r="H38" s="4">
        <v>1.25377E-3</v>
      </c>
      <c r="I38" s="4">
        <v>1.25377E-3</v>
      </c>
      <c r="J38" s="7">
        <f t="shared" si="5"/>
        <v>0</v>
      </c>
      <c r="K38" s="7">
        <f t="shared" si="6"/>
        <v>32319931</v>
      </c>
      <c r="L38" s="7">
        <f t="shared" si="16"/>
        <v>32319931</v>
      </c>
      <c r="M38" s="7"/>
      <c r="N38" s="7">
        <f t="shared" si="7"/>
        <v>0</v>
      </c>
      <c r="O38" s="32">
        <f t="shared" si="8"/>
        <v>0</v>
      </c>
      <c r="P38" s="32"/>
      <c r="Q38" s="32">
        <f t="shared" si="9"/>
        <v>2300684</v>
      </c>
      <c r="R38" s="32">
        <f t="shared" si="17"/>
        <v>2300684</v>
      </c>
      <c r="S38" s="32">
        <f t="shared" si="18"/>
        <v>0</v>
      </c>
      <c r="T38" s="32">
        <f t="shared" si="10"/>
        <v>0</v>
      </c>
      <c r="U38" s="32">
        <f t="shared" si="45"/>
        <v>0</v>
      </c>
      <c r="V38" s="32">
        <f t="shared" si="45"/>
        <v>0</v>
      </c>
      <c r="W38" s="32">
        <f t="shared" si="45"/>
        <v>0</v>
      </c>
      <c r="X38" s="32">
        <f t="shared" si="19"/>
        <v>0</v>
      </c>
      <c r="Y38" s="32"/>
      <c r="Z38" s="32">
        <f t="shared" si="45"/>
        <v>0</v>
      </c>
      <c r="AA38" s="32">
        <f t="shared" si="45"/>
        <v>0</v>
      </c>
      <c r="AB38" s="32">
        <f t="shared" si="45"/>
        <v>0</v>
      </c>
      <c r="AC38" s="32">
        <f t="shared" si="20"/>
        <v>0</v>
      </c>
      <c r="AD38" s="32"/>
      <c r="AE38" s="32">
        <f t="shared" si="45"/>
        <v>0</v>
      </c>
      <c r="AF38" s="32">
        <f t="shared" si="45"/>
        <v>0</v>
      </c>
      <c r="AG38" s="32">
        <f t="shared" si="45"/>
        <v>0</v>
      </c>
      <c r="AH38" s="32">
        <f t="shared" si="45"/>
        <v>0</v>
      </c>
      <c r="AI38" s="32">
        <f t="shared" si="45"/>
        <v>0</v>
      </c>
      <c r="AJ38" s="32">
        <f t="shared" si="45"/>
        <v>0</v>
      </c>
      <c r="AK38" s="7">
        <v>0</v>
      </c>
      <c r="AL38" s="32">
        <v>0</v>
      </c>
      <c r="AM38" s="32"/>
      <c r="AN38" s="4">
        <v>0</v>
      </c>
      <c r="AO38" s="32">
        <f t="shared" si="21"/>
        <v>0</v>
      </c>
      <c r="AP38" s="32">
        <f t="shared" si="22"/>
        <v>0</v>
      </c>
      <c r="AS38" s="32">
        <f t="shared" si="23"/>
        <v>0</v>
      </c>
      <c r="AT38" s="32">
        <f t="shared" si="13"/>
        <v>0</v>
      </c>
      <c r="AU38" s="32">
        <f t="shared" si="24"/>
        <v>0</v>
      </c>
      <c r="AV38" s="4">
        <f t="shared" si="25"/>
        <v>0</v>
      </c>
      <c r="AW38" s="32">
        <f t="shared" si="26"/>
        <v>0</v>
      </c>
      <c r="AX38" s="4">
        <f t="shared" si="27"/>
        <v>0</v>
      </c>
      <c r="AY38" s="32">
        <f t="shared" si="28"/>
        <v>0</v>
      </c>
      <c r="AZ38" s="4">
        <f t="shared" si="29"/>
        <v>0</v>
      </c>
      <c r="BA38" s="32">
        <f t="shared" si="30"/>
        <v>0</v>
      </c>
      <c r="BB38" s="32">
        <f t="shared" si="14"/>
        <v>0</v>
      </c>
      <c r="BC38" s="32">
        <f t="shared" si="31"/>
        <v>0</v>
      </c>
      <c r="BD38" s="32">
        <f t="shared" si="32"/>
        <v>0</v>
      </c>
      <c r="BF38" s="32">
        <f t="shared" si="33"/>
        <v>0</v>
      </c>
      <c r="BG38" s="32">
        <f t="shared" si="15"/>
        <v>0</v>
      </c>
      <c r="BH38" s="32">
        <f t="shared" si="34"/>
        <v>0</v>
      </c>
      <c r="BI38" s="4">
        <f t="shared" si="35"/>
        <v>0</v>
      </c>
      <c r="BJ38" s="32">
        <f t="shared" si="36"/>
        <v>0</v>
      </c>
      <c r="BK38" s="4">
        <f t="shared" si="37"/>
        <v>0</v>
      </c>
      <c r="BL38" s="32">
        <f t="shared" si="38"/>
        <v>0</v>
      </c>
      <c r="BM38" s="4">
        <f t="shared" si="39"/>
        <v>0</v>
      </c>
      <c r="BN38" s="32">
        <f t="shared" si="40"/>
        <v>0</v>
      </c>
      <c r="BO38" s="4">
        <f t="shared" si="41"/>
        <v>0</v>
      </c>
      <c r="BP38" s="32">
        <f t="shared" si="42"/>
        <v>0</v>
      </c>
      <c r="BQ38" s="32">
        <f t="shared" si="43"/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O38" s="4">
        <v>0</v>
      </c>
      <c r="DP38" s="4">
        <v>0</v>
      </c>
      <c r="DQ38" s="4">
        <v>0</v>
      </c>
    </row>
    <row r="39" spans="1:121" x14ac:dyDescent="0.35">
      <c r="A39" s="84">
        <f>'2017 Prop share of contribs'!A35</f>
        <v>30</v>
      </c>
      <c r="B39" s="84" t="str">
        <f>'2017 Prop share of contribs'!B35</f>
        <v xml:space="preserve">DAVIESS COUNTY SCHOOLS  </v>
      </c>
      <c r="C39" s="25" t="s">
        <v>150</v>
      </c>
      <c r="D39" s="33">
        <f>ROUND('Employer Allocations'!G78,8)</f>
        <v>0</v>
      </c>
      <c r="E39" s="4">
        <f>ROUND('Employer Allocations'!H78,8)</f>
        <v>1.5842620000000002E-2</v>
      </c>
      <c r="F39" s="4">
        <f>ROUND('Employer Allocations'!I78,8)</f>
        <v>1.5842620000000002E-2</v>
      </c>
      <c r="G39" s="4">
        <v>0</v>
      </c>
      <c r="H39" s="4">
        <v>1.5786000000000001E-2</v>
      </c>
      <c r="I39" s="4">
        <v>1.5786000000000001E-2</v>
      </c>
      <c r="J39" s="7">
        <f t="shared" si="5"/>
        <v>0</v>
      </c>
      <c r="K39" s="7">
        <f t="shared" si="6"/>
        <v>427477363</v>
      </c>
      <c r="L39" s="7">
        <f t="shared" si="16"/>
        <v>427477363</v>
      </c>
      <c r="M39" s="7"/>
      <c r="N39" s="7">
        <f t="shared" si="7"/>
        <v>0</v>
      </c>
      <c r="O39" s="32">
        <f t="shared" si="8"/>
        <v>0</v>
      </c>
      <c r="P39" s="32"/>
      <c r="Q39" s="32">
        <f t="shared" si="9"/>
        <v>30429834</v>
      </c>
      <c r="R39" s="32">
        <f t="shared" si="17"/>
        <v>30429834</v>
      </c>
      <c r="S39" s="32">
        <f t="shared" si="18"/>
        <v>0</v>
      </c>
      <c r="T39" s="32">
        <f t="shared" si="10"/>
        <v>0</v>
      </c>
      <c r="U39" s="32">
        <f t="shared" si="45"/>
        <v>0</v>
      </c>
      <c r="V39" s="32">
        <f t="shared" si="45"/>
        <v>0</v>
      </c>
      <c r="W39" s="32">
        <f t="shared" si="45"/>
        <v>0</v>
      </c>
      <c r="X39" s="32">
        <f t="shared" si="19"/>
        <v>0</v>
      </c>
      <c r="Y39" s="32"/>
      <c r="Z39" s="32">
        <f t="shared" si="45"/>
        <v>0</v>
      </c>
      <c r="AA39" s="32">
        <f t="shared" si="45"/>
        <v>0</v>
      </c>
      <c r="AB39" s="32">
        <f t="shared" si="45"/>
        <v>0</v>
      </c>
      <c r="AC39" s="32">
        <f t="shared" si="20"/>
        <v>0</v>
      </c>
      <c r="AD39" s="32"/>
      <c r="AE39" s="32">
        <f t="shared" si="45"/>
        <v>0</v>
      </c>
      <c r="AF39" s="32">
        <f t="shared" si="45"/>
        <v>0</v>
      </c>
      <c r="AG39" s="32">
        <f t="shared" si="45"/>
        <v>0</v>
      </c>
      <c r="AH39" s="32">
        <f t="shared" si="45"/>
        <v>0</v>
      </c>
      <c r="AI39" s="32">
        <f t="shared" si="45"/>
        <v>0</v>
      </c>
      <c r="AJ39" s="32">
        <f t="shared" si="45"/>
        <v>0</v>
      </c>
      <c r="AK39" s="7">
        <v>0</v>
      </c>
      <c r="AL39" s="32">
        <v>0</v>
      </c>
      <c r="AM39" s="32"/>
      <c r="AN39" s="4">
        <v>0</v>
      </c>
      <c r="AO39" s="32">
        <f t="shared" si="21"/>
        <v>0</v>
      </c>
      <c r="AP39" s="32">
        <f t="shared" si="22"/>
        <v>0</v>
      </c>
      <c r="AS39" s="32">
        <f t="shared" si="23"/>
        <v>0</v>
      </c>
      <c r="AT39" s="32">
        <f t="shared" si="13"/>
        <v>0</v>
      </c>
      <c r="AU39" s="32">
        <f t="shared" si="24"/>
        <v>0</v>
      </c>
      <c r="AV39" s="4">
        <f t="shared" si="25"/>
        <v>0</v>
      </c>
      <c r="AW39" s="32">
        <f t="shared" si="26"/>
        <v>0</v>
      </c>
      <c r="AX39" s="4">
        <f t="shared" si="27"/>
        <v>0</v>
      </c>
      <c r="AY39" s="32">
        <f t="shared" si="28"/>
        <v>0</v>
      </c>
      <c r="AZ39" s="4">
        <f t="shared" si="29"/>
        <v>0</v>
      </c>
      <c r="BA39" s="32">
        <f t="shared" si="30"/>
        <v>0</v>
      </c>
      <c r="BB39" s="32">
        <f t="shared" si="14"/>
        <v>0</v>
      </c>
      <c r="BC39" s="32">
        <f t="shared" si="31"/>
        <v>0</v>
      </c>
      <c r="BD39" s="32">
        <f t="shared" si="32"/>
        <v>0</v>
      </c>
      <c r="BF39" s="32">
        <f t="shared" si="33"/>
        <v>0</v>
      </c>
      <c r="BG39" s="32">
        <f t="shared" si="15"/>
        <v>0</v>
      </c>
      <c r="BH39" s="32">
        <f t="shared" si="34"/>
        <v>0</v>
      </c>
      <c r="BI39" s="4">
        <f t="shared" si="35"/>
        <v>0</v>
      </c>
      <c r="BJ39" s="32">
        <f t="shared" si="36"/>
        <v>0</v>
      </c>
      <c r="BK39" s="4">
        <f t="shared" si="37"/>
        <v>0</v>
      </c>
      <c r="BL39" s="32">
        <f t="shared" si="38"/>
        <v>0</v>
      </c>
      <c r="BM39" s="4">
        <f t="shared" si="39"/>
        <v>0</v>
      </c>
      <c r="BN39" s="32">
        <f t="shared" si="40"/>
        <v>0</v>
      </c>
      <c r="BO39" s="4">
        <f t="shared" si="41"/>
        <v>0</v>
      </c>
      <c r="BP39" s="32">
        <f t="shared" si="42"/>
        <v>0</v>
      </c>
      <c r="BQ39" s="32">
        <f t="shared" si="43"/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</row>
    <row r="40" spans="1:121" x14ac:dyDescent="0.35">
      <c r="A40" s="84">
        <f>'2017 Prop share of contribs'!A36</f>
        <v>31</v>
      </c>
      <c r="B40" s="84" t="str">
        <f>'2017 Prop share of contribs'!B36</f>
        <v xml:space="preserve">EDMONSON COUNTY SCHOOLS  </v>
      </c>
      <c r="C40" s="25" t="s">
        <v>151</v>
      </c>
      <c r="D40" s="33">
        <f>ROUND('Employer Allocations'!G79,8)</f>
        <v>0</v>
      </c>
      <c r="E40" s="4">
        <f>ROUND('Employer Allocations'!H79,8)</f>
        <v>2.457E-3</v>
      </c>
      <c r="F40" s="4">
        <f>ROUND('Employer Allocations'!I79,8)</f>
        <v>2.457E-3</v>
      </c>
      <c r="G40" s="4">
        <v>0</v>
      </c>
      <c r="H40" s="4">
        <v>2.4242600000000001E-3</v>
      </c>
      <c r="I40" s="4">
        <v>2.4242600000000001E-3</v>
      </c>
      <c r="J40" s="7">
        <f t="shared" si="5"/>
        <v>0</v>
      </c>
      <c r="K40" s="7">
        <f t="shared" si="6"/>
        <v>66296602</v>
      </c>
      <c r="L40" s="7">
        <f t="shared" si="16"/>
        <v>66296602</v>
      </c>
      <c r="M40" s="7"/>
      <c r="N40" s="7">
        <f t="shared" si="7"/>
        <v>0</v>
      </c>
      <c r="O40" s="32">
        <f t="shared" si="8"/>
        <v>0</v>
      </c>
      <c r="P40" s="32"/>
      <c r="Q40" s="32">
        <f t="shared" si="9"/>
        <v>4719302</v>
      </c>
      <c r="R40" s="32">
        <f t="shared" si="17"/>
        <v>4719302</v>
      </c>
      <c r="S40" s="32">
        <f t="shared" si="18"/>
        <v>0</v>
      </c>
      <c r="T40" s="32">
        <f t="shared" si="10"/>
        <v>0</v>
      </c>
      <c r="U40" s="32">
        <f t="shared" ref="U40:AJ55" si="46">ROUND(U$2*$D40,0)</f>
        <v>0</v>
      </c>
      <c r="V40" s="32">
        <f t="shared" si="46"/>
        <v>0</v>
      </c>
      <c r="W40" s="32">
        <f t="shared" si="46"/>
        <v>0</v>
      </c>
      <c r="X40" s="32">
        <f t="shared" si="19"/>
        <v>0</v>
      </c>
      <c r="Y40" s="32"/>
      <c r="Z40" s="32">
        <f t="shared" si="46"/>
        <v>0</v>
      </c>
      <c r="AA40" s="32">
        <f t="shared" si="46"/>
        <v>0</v>
      </c>
      <c r="AB40" s="32">
        <f t="shared" si="46"/>
        <v>0</v>
      </c>
      <c r="AC40" s="32">
        <f t="shared" si="20"/>
        <v>0</v>
      </c>
      <c r="AD40" s="32"/>
      <c r="AE40" s="32">
        <f t="shared" si="46"/>
        <v>0</v>
      </c>
      <c r="AF40" s="32">
        <f t="shared" si="46"/>
        <v>0</v>
      </c>
      <c r="AG40" s="32">
        <f t="shared" si="46"/>
        <v>0</v>
      </c>
      <c r="AH40" s="32">
        <f t="shared" si="46"/>
        <v>0</v>
      </c>
      <c r="AI40" s="32">
        <f t="shared" si="46"/>
        <v>0</v>
      </c>
      <c r="AJ40" s="32">
        <f t="shared" si="45"/>
        <v>0</v>
      </c>
      <c r="AK40" s="7">
        <v>0</v>
      </c>
      <c r="AL40" s="32">
        <v>0</v>
      </c>
      <c r="AM40" s="32"/>
      <c r="AN40" s="4">
        <v>0</v>
      </c>
      <c r="AO40" s="32">
        <f t="shared" si="21"/>
        <v>0</v>
      </c>
      <c r="AP40" s="32">
        <f t="shared" si="22"/>
        <v>0</v>
      </c>
      <c r="AS40" s="32">
        <f t="shared" si="23"/>
        <v>0</v>
      </c>
      <c r="AT40" s="32">
        <f t="shared" si="13"/>
        <v>0</v>
      </c>
      <c r="AU40" s="32">
        <f t="shared" si="24"/>
        <v>0</v>
      </c>
      <c r="AV40" s="4">
        <f t="shared" si="25"/>
        <v>0</v>
      </c>
      <c r="AW40" s="32">
        <f t="shared" si="26"/>
        <v>0</v>
      </c>
      <c r="AX40" s="4">
        <f t="shared" si="27"/>
        <v>0</v>
      </c>
      <c r="AY40" s="32">
        <f t="shared" si="28"/>
        <v>0</v>
      </c>
      <c r="AZ40" s="4">
        <f t="shared" si="29"/>
        <v>0</v>
      </c>
      <c r="BA40" s="32">
        <f t="shared" si="30"/>
        <v>0</v>
      </c>
      <c r="BB40" s="32">
        <f t="shared" si="14"/>
        <v>0</v>
      </c>
      <c r="BC40" s="32">
        <f t="shared" si="31"/>
        <v>0</v>
      </c>
      <c r="BD40" s="32">
        <f t="shared" si="32"/>
        <v>0</v>
      </c>
      <c r="BF40" s="32">
        <f t="shared" si="33"/>
        <v>0</v>
      </c>
      <c r="BG40" s="32">
        <f t="shared" si="15"/>
        <v>0</v>
      </c>
      <c r="BH40" s="32">
        <f t="shared" si="34"/>
        <v>0</v>
      </c>
      <c r="BI40" s="4">
        <f t="shared" si="35"/>
        <v>0</v>
      </c>
      <c r="BJ40" s="32">
        <f t="shared" si="36"/>
        <v>0</v>
      </c>
      <c r="BK40" s="4">
        <f t="shared" si="37"/>
        <v>0</v>
      </c>
      <c r="BL40" s="32">
        <f t="shared" si="38"/>
        <v>0</v>
      </c>
      <c r="BM40" s="4">
        <f t="shared" si="39"/>
        <v>0</v>
      </c>
      <c r="BN40" s="32">
        <f t="shared" si="40"/>
        <v>0</v>
      </c>
      <c r="BO40" s="4">
        <f t="shared" si="41"/>
        <v>0</v>
      </c>
      <c r="BP40" s="32">
        <f t="shared" si="42"/>
        <v>0</v>
      </c>
      <c r="BQ40" s="32">
        <f t="shared" si="43"/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</row>
    <row r="41" spans="1:121" x14ac:dyDescent="0.35">
      <c r="A41" s="84">
        <f>'2017 Prop share of contribs'!A37</f>
        <v>32</v>
      </c>
      <c r="B41" s="84" t="str">
        <f>'2017 Prop share of contribs'!B37</f>
        <v xml:space="preserve">ELLIOTT COUNTY SCHOOLS  </v>
      </c>
      <c r="C41" s="25" t="s">
        <v>152</v>
      </c>
      <c r="D41" s="33">
        <f>ROUND('Employer Allocations'!G80,8)</f>
        <v>0</v>
      </c>
      <c r="E41" s="4">
        <f>ROUND('Employer Allocations'!H80,8)</f>
        <v>1.4578099999999999E-3</v>
      </c>
      <c r="F41" s="4">
        <f>ROUND('Employer Allocations'!I80,8)</f>
        <v>1.4578099999999999E-3</v>
      </c>
      <c r="G41" s="4">
        <v>0</v>
      </c>
      <c r="H41" s="4">
        <v>1.4500400000000001E-3</v>
      </c>
      <c r="I41" s="4">
        <v>1.4500400000000001E-3</v>
      </c>
      <c r="J41" s="7">
        <f t="shared" si="5"/>
        <v>0</v>
      </c>
      <c r="K41" s="7">
        <f t="shared" si="6"/>
        <v>39335714</v>
      </c>
      <c r="L41" s="7">
        <f t="shared" si="16"/>
        <v>39335714</v>
      </c>
      <c r="M41" s="7"/>
      <c r="N41" s="7">
        <f t="shared" si="7"/>
        <v>0</v>
      </c>
      <c r="O41" s="32">
        <f t="shared" si="8"/>
        <v>0</v>
      </c>
      <c r="P41" s="32"/>
      <c r="Q41" s="32">
        <f t="shared" si="9"/>
        <v>2800100</v>
      </c>
      <c r="R41" s="32">
        <f t="shared" si="17"/>
        <v>2800100</v>
      </c>
      <c r="S41" s="32">
        <f t="shared" si="18"/>
        <v>0</v>
      </c>
      <c r="T41" s="32">
        <f t="shared" si="10"/>
        <v>0</v>
      </c>
      <c r="U41" s="32">
        <f t="shared" si="46"/>
        <v>0</v>
      </c>
      <c r="V41" s="32">
        <f t="shared" si="46"/>
        <v>0</v>
      </c>
      <c r="W41" s="32">
        <f t="shared" si="46"/>
        <v>0</v>
      </c>
      <c r="X41" s="32">
        <f t="shared" si="19"/>
        <v>0</v>
      </c>
      <c r="Y41" s="32"/>
      <c r="Z41" s="32">
        <f t="shared" si="46"/>
        <v>0</v>
      </c>
      <c r="AA41" s="32">
        <f t="shared" si="46"/>
        <v>0</v>
      </c>
      <c r="AB41" s="32">
        <f t="shared" si="46"/>
        <v>0</v>
      </c>
      <c r="AC41" s="32">
        <f t="shared" si="20"/>
        <v>0</v>
      </c>
      <c r="AD41" s="32"/>
      <c r="AE41" s="32">
        <f t="shared" si="46"/>
        <v>0</v>
      </c>
      <c r="AF41" s="32">
        <f t="shared" si="46"/>
        <v>0</v>
      </c>
      <c r="AG41" s="32">
        <f t="shared" si="46"/>
        <v>0</v>
      </c>
      <c r="AH41" s="32">
        <f t="shared" si="46"/>
        <v>0</v>
      </c>
      <c r="AI41" s="32">
        <f t="shared" si="46"/>
        <v>0</v>
      </c>
      <c r="AJ41" s="32">
        <f t="shared" si="45"/>
        <v>0</v>
      </c>
      <c r="AK41" s="7">
        <v>0</v>
      </c>
      <c r="AL41" s="32">
        <v>0</v>
      </c>
      <c r="AM41" s="32"/>
      <c r="AN41" s="4">
        <v>0</v>
      </c>
      <c r="AO41" s="32">
        <f t="shared" si="21"/>
        <v>0</v>
      </c>
      <c r="AP41" s="32">
        <f t="shared" si="22"/>
        <v>0</v>
      </c>
      <c r="AS41" s="32">
        <f t="shared" si="23"/>
        <v>0</v>
      </c>
      <c r="AT41" s="32">
        <f t="shared" si="13"/>
        <v>0</v>
      </c>
      <c r="AU41" s="32">
        <f t="shared" si="24"/>
        <v>0</v>
      </c>
      <c r="AV41" s="4">
        <f t="shared" si="25"/>
        <v>0</v>
      </c>
      <c r="AW41" s="32">
        <f t="shared" si="26"/>
        <v>0</v>
      </c>
      <c r="AX41" s="4">
        <f t="shared" si="27"/>
        <v>0</v>
      </c>
      <c r="AY41" s="32">
        <f t="shared" si="28"/>
        <v>0</v>
      </c>
      <c r="AZ41" s="4">
        <f t="shared" si="29"/>
        <v>0</v>
      </c>
      <c r="BA41" s="32">
        <f t="shared" si="30"/>
        <v>0</v>
      </c>
      <c r="BB41" s="32">
        <f t="shared" si="14"/>
        <v>0</v>
      </c>
      <c r="BC41" s="32">
        <f t="shared" si="31"/>
        <v>0</v>
      </c>
      <c r="BD41" s="32">
        <f t="shared" si="32"/>
        <v>0</v>
      </c>
      <c r="BF41" s="32">
        <f t="shared" si="33"/>
        <v>0</v>
      </c>
      <c r="BG41" s="32">
        <f t="shared" si="15"/>
        <v>0</v>
      </c>
      <c r="BH41" s="32">
        <f t="shared" si="34"/>
        <v>0</v>
      </c>
      <c r="BI41" s="4">
        <f t="shared" si="35"/>
        <v>0</v>
      </c>
      <c r="BJ41" s="32">
        <f t="shared" si="36"/>
        <v>0</v>
      </c>
      <c r="BK41" s="4">
        <f t="shared" si="37"/>
        <v>0</v>
      </c>
      <c r="BL41" s="32">
        <f t="shared" si="38"/>
        <v>0</v>
      </c>
      <c r="BM41" s="4">
        <f t="shared" si="39"/>
        <v>0</v>
      </c>
      <c r="BN41" s="32">
        <f t="shared" si="40"/>
        <v>0</v>
      </c>
      <c r="BO41" s="4">
        <f t="shared" si="41"/>
        <v>0</v>
      </c>
      <c r="BP41" s="32">
        <f t="shared" si="42"/>
        <v>0</v>
      </c>
      <c r="BQ41" s="32">
        <f t="shared" si="43"/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</row>
    <row r="42" spans="1:121" x14ac:dyDescent="0.35">
      <c r="A42" s="84">
        <f>'2017 Prop share of contribs'!A38</f>
        <v>33</v>
      </c>
      <c r="B42" s="84" t="str">
        <f>'2017 Prop share of contribs'!B38</f>
        <v xml:space="preserve">ESTILL COUNTY SCHOOLS  </v>
      </c>
      <c r="C42" s="25" t="s">
        <v>153</v>
      </c>
      <c r="D42" s="33">
        <f>ROUND('Employer Allocations'!G81,8)</f>
        <v>0</v>
      </c>
      <c r="E42" s="4">
        <f>ROUND('Employer Allocations'!H81,8)</f>
        <v>3.1228599999999999E-3</v>
      </c>
      <c r="F42" s="4">
        <f>ROUND('Employer Allocations'!I81,8)</f>
        <v>3.1228599999999999E-3</v>
      </c>
      <c r="G42" s="4">
        <v>0</v>
      </c>
      <c r="H42" s="4">
        <v>3.17125E-3</v>
      </c>
      <c r="I42" s="4">
        <v>3.17125E-3</v>
      </c>
      <c r="J42" s="7">
        <f t="shared" si="5"/>
        <v>0</v>
      </c>
      <c r="K42" s="7">
        <f t="shared" si="6"/>
        <v>84263333</v>
      </c>
      <c r="L42" s="7">
        <f t="shared" si="16"/>
        <v>84263333</v>
      </c>
      <c r="M42" s="7"/>
      <c r="N42" s="7">
        <f t="shared" si="7"/>
        <v>0</v>
      </c>
      <c r="O42" s="32">
        <f t="shared" si="8"/>
        <v>0</v>
      </c>
      <c r="P42" s="32"/>
      <c r="Q42" s="32">
        <f t="shared" si="9"/>
        <v>5998257</v>
      </c>
      <c r="R42" s="32">
        <f t="shared" si="17"/>
        <v>5998257</v>
      </c>
      <c r="S42" s="32">
        <f t="shared" si="18"/>
        <v>0</v>
      </c>
      <c r="T42" s="32">
        <f t="shared" si="10"/>
        <v>0</v>
      </c>
      <c r="U42" s="32">
        <f t="shared" si="46"/>
        <v>0</v>
      </c>
      <c r="V42" s="32">
        <f t="shared" si="46"/>
        <v>0</v>
      </c>
      <c r="W42" s="32">
        <f t="shared" si="46"/>
        <v>0</v>
      </c>
      <c r="X42" s="32">
        <f t="shared" si="19"/>
        <v>0</v>
      </c>
      <c r="Y42" s="32"/>
      <c r="Z42" s="32">
        <f t="shared" si="46"/>
        <v>0</v>
      </c>
      <c r="AA42" s="32">
        <f t="shared" si="46"/>
        <v>0</v>
      </c>
      <c r="AB42" s="32">
        <f t="shared" si="46"/>
        <v>0</v>
      </c>
      <c r="AC42" s="32">
        <f t="shared" si="20"/>
        <v>0</v>
      </c>
      <c r="AD42" s="32"/>
      <c r="AE42" s="32">
        <f t="shared" si="46"/>
        <v>0</v>
      </c>
      <c r="AF42" s="32">
        <f t="shared" si="46"/>
        <v>0</v>
      </c>
      <c r="AG42" s="32">
        <f t="shared" si="46"/>
        <v>0</v>
      </c>
      <c r="AH42" s="32">
        <f t="shared" si="46"/>
        <v>0</v>
      </c>
      <c r="AI42" s="32">
        <f t="shared" si="46"/>
        <v>0</v>
      </c>
      <c r="AJ42" s="32">
        <f t="shared" si="45"/>
        <v>0</v>
      </c>
      <c r="AK42" s="7">
        <v>0</v>
      </c>
      <c r="AL42" s="32">
        <v>0</v>
      </c>
      <c r="AM42" s="32"/>
      <c r="AN42" s="4">
        <v>0</v>
      </c>
      <c r="AO42" s="32">
        <f t="shared" si="21"/>
        <v>0</v>
      </c>
      <c r="AP42" s="32">
        <f t="shared" si="22"/>
        <v>0</v>
      </c>
      <c r="AS42" s="32">
        <f t="shared" si="23"/>
        <v>0</v>
      </c>
      <c r="AT42" s="32">
        <f t="shared" si="13"/>
        <v>0</v>
      </c>
      <c r="AU42" s="32">
        <f t="shared" si="24"/>
        <v>0</v>
      </c>
      <c r="AV42" s="4">
        <f t="shared" si="25"/>
        <v>0</v>
      </c>
      <c r="AW42" s="32">
        <f t="shared" si="26"/>
        <v>0</v>
      </c>
      <c r="AX42" s="4">
        <f t="shared" si="27"/>
        <v>0</v>
      </c>
      <c r="AY42" s="32">
        <f t="shared" si="28"/>
        <v>0</v>
      </c>
      <c r="AZ42" s="4">
        <f t="shared" si="29"/>
        <v>0</v>
      </c>
      <c r="BA42" s="32">
        <f t="shared" si="30"/>
        <v>0</v>
      </c>
      <c r="BB42" s="32">
        <f t="shared" si="14"/>
        <v>0</v>
      </c>
      <c r="BC42" s="32">
        <f t="shared" si="31"/>
        <v>0</v>
      </c>
      <c r="BD42" s="32">
        <f t="shared" si="32"/>
        <v>0</v>
      </c>
      <c r="BF42" s="32">
        <f t="shared" si="33"/>
        <v>0</v>
      </c>
      <c r="BG42" s="32">
        <f t="shared" si="15"/>
        <v>0</v>
      </c>
      <c r="BH42" s="32">
        <f t="shared" si="34"/>
        <v>0</v>
      </c>
      <c r="BI42" s="4">
        <f t="shared" si="35"/>
        <v>0</v>
      </c>
      <c r="BJ42" s="32">
        <f t="shared" si="36"/>
        <v>0</v>
      </c>
      <c r="BK42" s="4">
        <f t="shared" si="37"/>
        <v>0</v>
      </c>
      <c r="BL42" s="32">
        <f t="shared" si="38"/>
        <v>0</v>
      </c>
      <c r="BM42" s="4">
        <f t="shared" si="39"/>
        <v>0</v>
      </c>
      <c r="BN42" s="32">
        <f t="shared" si="40"/>
        <v>0</v>
      </c>
      <c r="BO42" s="4">
        <f t="shared" si="41"/>
        <v>0</v>
      </c>
      <c r="BP42" s="32">
        <f t="shared" si="42"/>
        <v>0</v>
      </c>
      <c r="BQ42" s="32">
        <f t="shared" si="43"/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O42" s="4">
        <v>0</v>
      </c>
      <c r="DP42" s="4">
        <v>0</v>
      </c>
      <c r="DQ42" s="4">
        <v>0</v>
      </c>
    </row>
    <row r="43" spans="1:121" x14ac:dyDescent="0.35">
      <c r="A43" s="84">
        <f>'2017 Prop share of contribs'!A39</f>
        <v>34</v>
      </c>
      <c r="B43" s="84" t="str">
        <f>'2017 Prop share of contribs'!B39</f>
        <v xml:space="preserve">FAYETTE COUNTY PUBLIC SCHOOLS  </v>
      </c>
      <c r="C43" s="25" t="s">
        <v>154</v>
      </c>
      <c r="D43" s="33">
        <f>ROUND('Employer Allocations'!G82,8)</f>
        <v>0</v>
      </c>
      <c r="E43" s="4">
        <f>ROUND('Employer Allocations'!H82,8)</f>
        <v>7.350537E-2</v>
      </c>
      <c r="F43" s="4">
        <f>ROUND('Employer Allocations'!I82,8)</f>
        <v>7.350537E-2</v>
      </c>
      <c r="G43" s="4">
        <v>0</v>
      </c>
      <c r="H43" s="4">
        <v>7.1969959999999999E-2</v>
      </c>
      <c r="I43" s="4">
        <v>7.1969959999999999E-2</v>
      </c>
      <c r="J43" s="7">
        <f t="shared" si="5"/>
        <v>0</v>
      </c>
      <c r="K43" s="7">
        <f t="shared" si="6"/>
        <v>1983376595</v>
      </c>
      <c r="L43" s="7">
        <f t="shared" si="16"/>
        <v>1983376595</v>
      </c>
      <c r="M43" s="7"/>
      <c r="N43" s="7">
        <f t="shared" si="7"/>
        <v>0</v>
      </c>
      <c r="O43" s="32">
        <f t="shared" si="8"/>
        <v>0</v>
      </c>
      <c r="P43" s="32"/>
      <c r="Q43" s="32">
        <f t="shared" si="9"/>
        <v>141186002</v>
      </c>
      <c r="R43" s="32">
        <f t="shared" si="17"/>
        <v>141186002</v>
      </c>
      <c r="S43" s="32">
        <f t="shared" si="18"/>
        <v>0</v>
      </c>
      <c r="T43" s="32">
        <f t="shared" si="10"/>
        <v>0</v>
      </c>
      <c r="U43" s="32">
        <f t="shared" si="46"/>
        <v>0</v>
      </c>
      <c r="V43" s="32">
        <f t="shared" si="46"/>
        <v>0</v>
      </c>
      <c r="W43" s="32">
        <f t="shared" si="46"/>
        <v>0</v>
      </c>
      <c r="X43" s="32">
        <f t="shared" si="19"/>
        <v>0</v>
      </c>
      <c r="Y43" s="32"/>
      <c r="Z43" s="32">
        <f t="shared" si="46"/>
        <v>0</v>
      </c>
      <c r="AA43" s="32">
        <f t="shared" si="46"/>
        <v>0</v>
      </c>
      <c r="AB43" s="32">
        <f t="shared" si="46"/>
        <v>0</v>
      </c>
      <c r="AC43" s="32">
        <f t="shared" si="20"/>
        <v>0</v>
      </c>
      <c r="AD43" s="32"/>
      <c r="AE43" s="32">
        <f t="shared" si="46"/>
        <v>0</v>
      </c>
      <c r="AF43" s="32">
        <f t="shared" si="46"/>
        <v>0</v>
      </c>
      <c r="AG43" s="32">
        <f t="shared" si="46"/>
        <v>0</v>
      </c>
      <c r="AH43" s="32">
        <f t="shared" si="46"/>
        <v>0</v>
      </c>
      <c r="AI43" s="32">
        <f t="shared" si="46"/>
        <v>0</v>
      </c>
      <c r="AJ43" s="32">
        <f t="shared" si="45"/>
        <v>0</v>
      </c>
      <c r="AK43" s="7">
        <v>0</v>
      </c>
      <c r="AL43" s="32">
        <v>0</v>
      </c>
      <c r="AM43" s="32"/>
      <c r="AN43" s="4">
        <v>0</v>
      </c>
      <c r="AO43" s="32">
        <f t="shared" si="21"/>
        <v>0</v>
      </c>
      <c r="AP43" s="32">
        <f t="shared" si="22"/>
        <v>0</v>
      </c>
      <c r="AS43" s="32">
        <f t="shared" si="23"/>
        <v>0</v>
      </c>
      <c r="AT43" s="32">
        <f t="shared" si="13"/>
        <v>0</v>
      </c>
      <c r="AU43" s="32">
        <f t="shared" si="24"/>
        <v>0</v>
      </c>
      <c r="AV43" s="4">
        <f t="shared" si="25"/>
        <v>0</v>
      </c>
      <c r="AW43" s="32">
        <f t="shared" si="26"/>
        <v>0</v>
      </c>
      <c r="AX43" s="4">
        <f t="shared" si="27"/>
        <v>0</v>
      </c>
      <c r="AY43" s="32">
        <f t="shared" si="28"/>
        <v>0</v>
      </c>
      <c r="AZ43" s="4">
        <f t="shared" si="29"/>
        <v>0</v>
      </c>
      <c r="BA43" s="32">
        <f t="shared" si="30"/>
        <v>0</v>
      </c>
      <c r="BB43" s="32">
        <f t="shared" si="14"/>
        <v>0</v>
      </c>
      <c r="BC43" s="32">
        <f t="shared" si="31"/>
        <v>0</v>
      </c>
      <c r="BD43" s="32">
        <f t="shared" si="32"/>
        <v>0</v>
      </c>
      <c r="BF43" s="32">
        <f t="shared" si="33"/>
        <v>0</v>
      </c>
      <c r="BG43" s="32">
        <f t="shared" si="15"/>
        <v>0</v>
      </c>
      <c r="BH43" s="32">
        <f t="shared" si="34"/>
        <v>0</v>
      </c>
      <c r="BI43" s="4">
        <f t="shared" si="35"/>
        <v>0</v>
      </c>
      <c r="BJ43" s="32">
        <f t="shared" si="36"/>
        <v>0</v>
      </c>
      <c r="BK43" s="4">
        <f t="shared" si="37"/>
        <v>0</v>
      </c>
      <c r="BL43" s="32">
        <f t="shared" si="38"/>
        <v>0</v>
      </c>
      <c r="BM43" s="4">
        <f t="shared" si="39"/>
        <v>0</v>
      </c>
      <c r="BN43" s="32">
        <f t="shared" si="40"/>
        <v>0</v>
      </c>
      <c r="BO43" s="4">
        <f t="shared" si="41"/>
        <v>0</v>
      </c>
      <c r="BP43" s="32">
        <f t="shared" si="42"/>
        <v>0</v>
      </c>
      <c r="BQ43" s="32">
        <f t="shared" si="43"/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</row>
    <row r="44" spans="1:121" x14ac:dyDescent="0.35">
      <c r="A44" s="84">
        <f>'2017 Prop share of contribs'!A40</f>
        <v>35</v>
      </c>
      <c r="B44" s="84" t="str">
        <f>'2017 Prop share of contribs'!B40</f>
        <v xml:space="preserve">FLEMING COUNTY SCHOOLS  </v>
      </c>
      <c r="C44" s="25" t="s">
        <v>155</v>
      </c>
      <c r="D44" s="33">
        <f>ROUND('Employer Allocations'!G83,8)</f>
        <v>0</v>
      </c>
      <c r="E44" s="4">
        <f>ROUND('Employer Allocations'!H83,8)</f>
        <v>2.8690500000000002E-3</v>
      </c>
      <c r="F44" s="4">
        <f>ROUND('Employer Allocations'!I83,8)</f>
        <v>2.8690500000000002E-3</v>
      </c>
      <c r="G44" s="4">
        <v>0</v>
      </c>
      <c r="H44" s="4">
        <v>2.7472099999999999E-3</v>
      </c>
      <c r="I44" s="4">
        <v>2.7472099999999999E-3</v>
      </c>
      <c r="J44" s="7">
        <f t="shared" si="5"/>
        <v>0</v>
      </c>
      <c r="K44" s="7">
        <f t="shared" si="6"/>
        <v>77414842</v>
      </c>
      <c r="L44" s="7">
        <f t="shared" si="16"/>
        <v>77414842</v>
      </c>
      <c r="M44" s="7"/>
      <c r="N44" s="7">
        <f t="shared" si="7"/>
        <v>0</v>
      </c>
      <c r="O44" s="32">
        <f t="shared" si="8"/>
        <v>0</v>
      </c>
      <c r="P44" s="32"/>
      <c r="Q44" s="32">
        <f t="shared" si="9"/>
        <v>5510750</v>
      </c>
      <c r="R44" s="32">
        <f t="shared" si="17"/>
        <v>5510750</v>
      </c>
      <c r="S44" s="32">
        <f t="shared" si="18"/>
        <v>0</v>
      </c>
      <c r="T44" s="32">
        <f t="shared" si="10"/>
        <v>0</v>
      </c>
      <c r="U44" s="32">
        <f t="shared" si="46"/>
        <v>0</v>
      </c>
      <c r="V44" s="32">
        <f t="shared" si="46"/>
        <v>0</v>
      </c>
      <c r="W44" s="32">
        <f t="shared" si="46"/>
        <v>0</v>
      </c>
      <c r="X44" s="32">
        <f t="shared" si="19"/>
        <v>0</v>
      </c>
      <c r="Y44" s="32"/>
      <c r="Z44" s="32">
        <f t="shared" si="46"/>
        <v>0</v>
      </c>
      <c r="AA44" s="32">
        <f t="shared" si="46"/>
        <v>0</v>
      </c>
      <c r="AB44" s="32">
        <f t="shared" si="46"/>
        <v>0</v>
      </c>
      <c r="AC44" s="32">
        <f t="shared" si="20"/>
        <v>0</v>
      </c>
      <c r="AD44" s="32"/>
      <c r="AE44" s="32">
        <f t="shared" si="46"/>
        <v>0</v>
      </c>
      <c r="AF44" s="32">
        <f t="shared" si="46"/>
        <v>0</v>
      </c>
      <c r="AG44" s="32">
        <f t="shared" si="46"/>
        <v>0</v>
      </c>
      <c r="AH44" s="32">
        <f t="shared" si="46"/>
        <v>0</v>
      </c>
      <c r="AI44" s="32">
        <f t="shared" si="46"/>
        <v>0</v>
      </c>
      <c r="AJ44" s="32">
        <f t="shared" si="45"/>
        <v>0</v>
      </c>
      <c r="AK44" s="7">
        <v>0</v>
      </c>
      <c r="AL44" s="32">
        <v>0</v>
      </c>
      <c r="AM44" s="32"/>
      <c r="AN44" s="4">
        <v>0</v>
      </c>
      <c r="AO44" s="32">
        <f t="shared" si="21"/>
        <v>0</v>
      </c>
      <c r="AP44" s="32">
        <f t="shared" si="22"/>
        <v>0</v>
      </c>
      <c r="AS44" s="32">
        <f t="shared" si="23"/>
        <v>0</v>
      </c>
      <c r="AT44" s="32">
        <f t="shared" si="13"/>
        <v>0</v>
      </c>
      <c r="AU44" s="32">
        <f t="shared" si="24"/>
        <v>0</v>
      </c>
      <c r="AV44" s="4">
        <f t="shared" si="25"/>
        <v>0</v>
      </c>
      <c r="AW44" s="32">
        <f t="shared" si="26"/>
        <v>0</v>
      </c>
      <c r="AX44" s="4">
        <f t="shared" si="27"/>
        <v>0</v>
      </c>
      <c r="AY44" s="32">
        <f t="shared" si="28"/>
        <v>0</v>
      </c>
      <c r="AZ44" s="4">
        <f t="shared" si="29"/>
        <v>0</v>
      </c>
      <c r="BA44" s="32">
        <f t="shared" si="30"/>
        <v>0</v>
      </c>
      <c r="BB44" s="32">
        <f t="shared" si="14"/>
        <v>0</v>
      </c>
      <c r="BC44" s="32">
        <f t="shared" si="31"/>
        <v>0</v>
      </c>
      <c r="BD44" s="32">
        <f t="shared" si="32"/>
        <v>0</v>
      </c>
      <c r="BF44" s="32">
        <f t="shared" si="33"/>
        <v>0</v>
      </c>
      <c r="BG44" s="32">
        <f t="shared" si="15"/>
        <v>0</v>
      </c>
      <c r="BH44" s="32">
        <f t="shared" si="34"/>
        <v>0</v>
      </c>
      <c r="BI44" s="4">
        <f t="shared" si="35"/>
        <v>0</v>
      </c>
      <c r="BJ44" s="32">
        <f t="shared" si="36"/>
        <v>0</v>
      </c>
      <c r="BK44" s="4">
        <f t="shared" si="37"/>
        <v>0</v>
      </c>
      <c r="BL44" s="32">
        <f t="shared" si="38"/>
        <v>0</v>
      </c>
      <c r="BM44" s="4">
        <f t="shared" si="39"/>
        <v>0</v>
      </c>
      <c r="BN44" s="32">
        <f t="shared" si="40"/>
        <v>0</v>
      </c>
      <c r="BO44" s="4">
        <f t="shared" si="41"/>
        <v>0</v>
      </c>
      <c r="BP44" s="32">
        <f t="shared" si="42"/>
        <v>0</v>
      </c>
      <c r="BQ44" s="32">
        <f t="shared" si="43"/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4">
        <v>0</v>
      </c>
      <c r="DP44" s="4">
        <v>0</v>
      </c>
      <c r="DQ44" s="4">
        <v>0</v>
      </c>
    </row>
    <row r="45" spans="1:121" x14ac:dyDescent="0.35">
      <c r="A45" s="84">
        <f>'2017 Prop share of contribs'!A41</f>
        <v>36</v>
      </c>
      <c r="B45" s="84" t="str">
        <f>'2017 Prop share of contribs'!B41</f>
        <v xml:space="preserve">FLOYD COUNTY SCHOOLS  </v>
      </c>
      <c r="C45" s="25" t="s">
        <v>156</v>
      </c>
      <c r="D45" s="33">
        <f>ROUND('Employer Allocations'!G84,8)</f>
        <v>0</v>
      </c>
      <c r="E45" s="4">
        <f>ROUND('Employer Allocations'!H84,8)</f>
        <v>7.5584299999999997E-3</v>
      </c>
      <c r="F45" s="4">
        <f>ROUND('Employer Allocations'!I84,8)</f>
        <v>7.5584299999999997E-3</v>
      </c>
      <c r="G45" s="4">
        <v>0</v>
      </c>
      <c r="H45" s="4">
        <v>7.7406200000000001E-3</v>
      </c>
      <c r="I45" s="4">
        <v>7.7406200000000001E-3</v>
      </c>
      <c r="J45" s="7">
        <f t="shared" si="5"/>
        <v>0</v>
      </c>
      <c r="K45" s="7">
        <f t="shared" si="6"/>
        <v>203947183</v>
      </c>
      <c r="L45" s="7">
        <f t="shared" si="16"/>
        <v>203947183</v>
      </c>
      <c r="M45" s="7"/>
      <c r="N45" s="7">
        <f t="shared" si="7"/>
        <v>0</v>
      </c>
      <c r="O45" s="32">
        <f t="shared" si="8"/>
        <v>0</v>
      </c>
      <c r="P45" s="32"/>
      <c r="Q45" s="32">
        <f t="shared" si="9"/>
        <v>14517912</v>
      </c>
      <c r="R45" s="32">
        <f t="shared" si="17"/>
        <v>14517912</v>
      </c>
      <c r="S45" s="32">
        <f t="shared" si="18"/>
        <v>0</v>
      </c>
      <c r="T45" s="32">
        <f t="shared" si="10"/>
        <v>0</v>
      </c>
      <c r="U45" s="32">
        <f t="shared" si="46"/>
        <v>0</v>
      </c>
      <c r="V45" s="32">
        <f t="shared" si="46"/>
        <v>0</v>
      </c>
      <c r="W45" s="32">
        <f t="shared" si="46"/>
        <v>0</v>
      </c>
      <c r="X45" s="32">
        <f t="shared" si="19"/>
        <v>0</v>
      </c>
      <c r="Y45" s="32"/>
      <c r="Z45" s="32">
        <f t="shared" si="46"/>
        <v>0</v>
      </c>
      <c r="AA45" s="32">
        <f t="shared" si="46"/>
        <v>0</v>
      </c>
      <c r="AB45" s="32">
        <f t="shared" si="46"/>
        <v>0</v>
      </c>
      <c r="AC45" s="32">
        <f t="shared" si="20"/>
        <v>0</v>
      </c>
      <c r="AD45" s="32"/>
      <c r="AE45" s="32">
        <f t="shared" si="46"/>
        <v>0</v>
      </c>
      <c r="AF45" s="32">
        <f t="shared" si="46"/>
        <v>0</v>
      </c>
      <c r="AG45" s="32">
        <f t="shared" si="46"/>
        <v>0</v>
      </c>
      <c r="AH45" s="32">
        <f t="shared" si="46"/>
        <v>0</v>
      </c>
      <c r="AI45" s="32">
        <f t="shared" si="46"/>
        <v>0</v>
      </c>
      <c r="AJ45" s="32">
        <f t="shared" si="45"/>
        <v>0</v>
      </c>
      <c r="AK45" s="7">
        <v>0</v>
      </c>
      <c r="AL45" s="32">
        <v>0</v>
      </c>
      <c r="AM45" s="32"/>
      <c r="AN45" s="4">
        <v>0</v>
      </c>
      <c r="AO45" s="32">
        <f t="shared" si="21"/>
        <v>0</v>
      </c>
      <c r="AP45" s="32">
        <f t="shared" si="22"/>
        <v>0</v>
      </c>
      <c r="AS45" s="32">
        <f t="shared" si="23"/>
        <v>0</v>
      </c>
      <c r="AT45" s="32">
        <f t="shared" si="13"/>
        <v>0</v>
      </c>
      <c r="AU45" s="32">
        <f t="shared" si="24"/>
        <v>0</v>
      </c>
      <c r="AV45" s="4">
        <f t="shared" si="25"/>
        <v>0</v>
      </c>
      <c r="AW45" s="32">
        <f t="shared" si="26"/>
        <v>0</v>
      </c>
      <c r="AX45" s="4">
        <f t="shared" si="27"/>
        <v>0</v>
      </c>
      <c r="AY45" s="32">
        <f t="shared" si="28"/>
        <v>0</v>
      </c>
      <c r="AZ45" s="4">
        <f t="shared" si="29"/>
        <v>0</v>
      </c>
      <c r="BA45" s="32">
        <f t="shared" si="30"/>
        <v>0</v>
      </c>
      <c r="BB45" s="32">
        <f t="shared" si="14"/>
        <v>0</v>
      </c>
      <c r="BC45" s="32">
        <f t="shared" si="31"/>
        <v>0</v>
      </c>
      <c r="BD45" s="32">
        <f t="shared" si="32"/>
        <v>0</v>
      </c>
      <c r="BF45" s="32">
        <f t="shared" si="33"/>
        <v>0</v>
      </c>
      <c r="BG45" s="32">
        <f t="shared" si="15"/>
        <v>0</v>
      </c>
      <c r="BH45" s="32">
        <f t="shared" si="34"/>
        <v>0</v>
      </c>
      <c r="BI45" s="4">
        <f t="shared" si="35"/>
        <v>0</v>
      </c>
      <c r="BJ45" s="32">
        <f t="shared" si="36"/>
        <v>0</v>
      </c>
      <c r="BK45" s="4">
        <f t="shared" si="37"/>
        <v>0</v>
      </c>
      <c r="BL45" s="32">
        <f t="shared" si="38"/>
        <v>0</v>
      </c>
      <c r="BM45" s="4">
        <f t="shared" si="39"/>
        <v>0</v>
      </c>
      <c r="BN45" s="32">
        <f t="shared" si="40"/>
        <v>0</v>
      </c>
      <c r="BO45" s="4">
        <f t="shared" si="41"/>
        <v>0</v>
      </c>
      <c r="BP45" s="32">
        <f t="shared" si="42"/>
        <v>0</v>
      </c>
      <c r="BQ45" s="32">
        <f t="shared" si="43"/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</row>
    <row r="46" spans="1:121" x14ac:dyDescent="0.35">
      <c r="A46" s="84">
        <f>'2017 Prop share of contribs'!A42</f>
        <v>37</v>
      </c>
      <c r="B46" s="84" t="str">
        <f>'2017 Prop share of contribs'!B42</f>
        <v xml:space="preserve">FRANKLIN COUNTY SCHOOLS  </v>
      </c>
      <c r="C46" s="25" t="s">
        <v>157</v>
      </c>
      <c r="D46" s="33">
        <f>ROUND('Employer Allocations'!G85,8)</f>
        <v>0</v>
      </c>
      <c r="E46" s="4">
        <f>ROUND('Employer Allocations'!H85,8)</f>
        <v>8.3253700000000003E-3</v>
      </c>
      <c r="F46" s="4">
        <f>ROUND('Employer Allocations'!I85,8)</f>
        <v>8.3253700000000003E-3</v>
      </c>
      <c r="G46" s="4">
        <v>0</v>
      </c>
      <c r="H46" s="4">
        <v>8.2912300000000001E-3</v>
      </c>
      <c r="I46" s="4">
        <v>8.2912300000000001E-3</v>
      </c>
      <c r="J46" s="7">
        <f t="shared" si="5"/>
        <v>0</v>
      </c>
      <c r="K46" s="7">
        <f t="shared" si="6"/>
        <v>224641329</v>
      </c>
      <c r="L46" s="7">
        <f t="shared" si="16"/>
        <v>224641329</v>
      </c>
      <c r="M46" s="7"/>
      <c r="N46" s="7">
        <f t="shared" si="7"/>
        <v>0</v>
      </c>
      <c r="O46" s="32">
        <f t="shared" si="8"/>
        <v>0</v>
      </c>
      <c r="P46" s="32"/>
      <c r="Q46" s="32">
        <f t="shared" si="9"/>
        <v>15991018</v>
      </c>
      <c r="R46" s="32">
        <f t="shared" si="17"/>
        <v>15991018</v>
      </c>
      <c r="S46" s="32">
        <f t="shared" si="18"/>
        <v>0</v>
      </c>
      <c r="T46" s="32">
        <f t="shared" si="10"/>
        <v>0</v>
      </c>
      <c r="U46" s="32">
        <f t="shared" si="46"/>
        <v>0</v>
      </c>
      <c r="V46" s="32">
        <f t="shared" si="46"/>
        <v>0</v>
      </c>
      <c r="W46" s="32">
        <f t="shared" si="46"/>
        <v>0</v>
      </c>
      <c r="X46" s="32">
        <f t="shared" si="19"/>
        <v>0</v>
      </c>
      <c r="Y46" s="32"/>
      <c r="Z46" s="32">
        <f t="shared" si="46"/>
        <v>0</v>
      </c>
      <c r="AA46" s="32">
        <f t="shared" si="46"/>
        <v>0</v>
      </c>
      <c r="AB46" s="32">
        <f t="shared" si="46"/>
        <v>0</v>
      </c>
      <c r="AC46" s="32">
        <f t="shared" si="20"/>
        <v>0</v>
      </c>
      <c r="AD46" s="32"/>
      <c r="AE46" s="32">
        <f t="shared" si="46"/>
        <v>0</v>
      </c>
      <c r="AF46" s="32">
        <f t="shared" si="46"/>
        <v>0</v>
      </c>
      <c r="AG46" s="32">
        <f t="shared" si="46"/>
        <v>0</v>
      </c>
      <c r="AH46" s="32">
        <f t="shared" si="46"/>
        <v>0</v>
      </c>
      <c r="AI46" s="32">
        <f t="shared" si="46"/>
        <v>0</v>
      </c>
      <c r="AJ46" s="32">
        <f t="shared" si="46"/>
        <v>0</v>
      </c>
      <c r="AK46" s="7">
        <v>0</v>
      </c>
      <c r="AL46" s="32">
        <v>0</v>
      </c>
      <c r="AM46" s="32"/>
      <c r="AN46" s="4">
        <v>0</v>
      </c>
      <c r="AO46" s="32">
        <f t="shared" si="21"/>
        <v>0</v>
      </c>
      <c r="AP46" s="32">
        <f t="shared" si="22"/>
        <v>0</v>
      </c>
      <c r="AS46" s="32">
        <f t="shared" si="23"/>
        <v>0</v>
      </c>
      <c r="AT46" s="32">
        <f t="shared" si="13"/>
        <v>0</v>
      </c>
      <c r="AU46" s="32">
        <f t="shared" si="24"/>
        <v>0</v>
      </c>
      <c r="AV46" s="4">
        <f t="shared" si="25"/>
        <v>0</v>
      </c>
      <c r="AW46" s="32">
        <f t="shared" si="26"/>
        <v>0</v>
      </c>
      <c r="AX46" s="4">
        <f t="shared" si="27"/>
        <v>0</v>
      </c>
      <c r="AY46" s="32">
        <f t="shared" si="28"/>
        <v>0</v>
      </c>
      <c r="AZ46" s="4">
        <f t="shared" si="29"/>
        <v>0</v>
      </c>
      <c r="BA46" s="32">
        <f t="shared" si="30"/>
        <v>0</v>
      </c>
      <c r="BB46" s="32">
        <f t="shared" si="14"/>
        <v>0</v>
      </c>
      <c r="BC46" s="32">
        <f t="shared" si="31"/>
        <v>0</v>
      </c>
      <c r="BD46" s="32">
        <f t="shared" si="32"/>
        <v>0</v>
      </c>
      <c r="BF46" s="32">
        <f t="shared" si="33"/>
        <v>0</v>
      </c>
      <c r="BG46" s="32">
        <f t="shared" si="15"/>
        <v>0</v>
      </c>
      <c r="BH46" s="32">
        <f t="shared" si="34"/>
        <v>0</v>
      </c>
      <c r="BI46" s="4">
        <f t="shared" si="35"/>
        <v>0</v>
      </c>
      <c r="BJ46" s="32">
        <f t="shared" si="36"/>
        <v>0</v>
      </c>
      <c r="BK46" s="4">
        <f t="shared" si="37"/>
        <v>0</v>
      </c>
      <c r="BL46" s="32">
        <f t="shared" si="38"/>
        <v>0</v>
      </c>
      <c r="BM46" s="4">
        <f t="shared" si="39"/>
        <v>0</v>
      </c>
      <c r="BN46" s="32">
        <f t="shared" si="40"/>
        <v>0</v>
      </c>
      <c r="BO46" s="4">
        <f t="shared" si="41"/>
        <v>0</v>
      </c>
      <c r="BP46" s="32">
        <f t="shared" si="42"/>
        <v>0</v>
      </c>
      <c r="BQ46" s="32">
        <f t="shared" si="43"/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0</v>
      </c>
      <c r="DP46" s="4">
        <v>0</v>
      </c>
      <c r="DQ46" s="4">
        <v>0</v>
      </c>
    </row>
    <row r="47" spans="1:121" x14ac:dyDescent="0.35">
      <c r="A47" s="84">
        <f>'2017 Prop share of contribs'!A43</f>
        <v>38</v>
      </c>
      <c r="B47" s="84" t="str">
        <f>'2017 Prop share of contribs'!B43</f>
        <v xml:space="preserve">FULTON COUNTY SCHOOLS  </v>
      </c>
      <c r="C47" s="25" t="s">
        <v>158</v>
      </c>
      <c r="D47" s="33">
        <f>ROUND('Employer Allocations'!G86,8)</f>
        <v>0</v>
      </c>
      <c r="E47" s="4">
        <f>ROUND('Employer Allocations'!H86,8)</f>
        <v>8.3792000000000003E-4</v>
      </c>
      <c r="F47" s="4">
        <f>ROUND('Employer Allocations'!I86,8)</f>
        <v>8.3792000000000003E-4</v>
      </c>
      <c r="G47" s="4">
        <v>0</v>
      </c>
      <c r="H47" s="4">
        <v>7.9348999999999999E-4</v>
      </c>
      <c r="I47" s="4">
        <v>7.9348999999999999E-4</v>
      </c>
      <c r="J47" s="7">
        <f t="shared" si="5"/>
        <v>0</v>
      </c>
      <c r="K47" s="7">
        <f t="shared" si="6"/>
        <v>22609381</v>
      </c>
      <c r="L47" s="7">
        <f t="shared" si="16"/>
        <v>22609381</v>
      </c>
      <c r="M47" s="7"/>
      <c r="N47" s="7">
        <f t="shared" si="7"/>
        <v>0</v>
      </c>
      <c r="O47" s="32">
        <f t="shared" si="8"/>
        <v>0</v>
      </c>
      <c r="P47" s="32"/>
      <c r="Q47" s="32">
        <f t="shared" si="9"/>
        <v>1609441</v>
      </c>
      <c r="R47" s="32">
        <f t="shared" si="17"/>
        <v>1609441</v>
      </c>
      <c r="S47" s="32">
        <f t="shared" si="18"/>
        <v>0</v>
      </c>
      <c r="T47" s="32">
        <f t="shared" si="10"/>
        <v>0</v>
      </c>
      <c r="U47" s="32">
        <f t="shared" si="46"/>
        <v>0</v>
      </c>
      <c r="V47" s="32">
        <f t="shared" si="46"/>
        <v>0</v>
      </c>
      <c r="W47" s="32">
        <f t="shared" si="46"/>
        <v>0</v>
      </c>
      <c r="X47" s="32">
        <f t="shared" si="19"/>
        <v>0</v>
      </c>
      <c r="Y47" s="32"/>
      <c r="Z47" s="32">
        <f t="shared" si="46"/>
        <v>0</v>
      </c>
      <c r="AA47" s="32">
        <f t="shared" si="46"/>
        <v>0</v>
      </c>
      <c r="AB47" s="32">
        <f t="shared" si="46"/>
        <v>0</v>
      </c>
      <c r="AC47" s="32">
        <f t="shared" si="20"/>
        <v>0</v>
      </c>
      <c r="AD47" s="32"/>
      <c r="AE47" s="32">
        <f t="shared" si="46"/>
        <v>0</v>
      </c>
      <c r="AF47" s="32">
        <f t="shared" si="46"/>
        <v>0</v>
      </c>
      <c r="AG47" s="32">
        <f t="shared" si="46"/>
        <v>0</v>
      </c>
      <c r="AH47" s="32">
        <f t="shared" si="46"/>
        <v>0</v>
      </c>
      <c r="AI47" s="32">
        <f t="shared" si="46"/>
        <v>0</v>
      </c>
      <c r="AJ47" s="32">
        <f t="shared" si="46"/>
        <v>0</v>
      </c>
      <c r="AK47" s="7">
        <v>0</v>
      </c>
      <c r="AL47" s="32">
        <v>0</v>
      </c>
      <c r="AM47" s="32"/>
      <c r="AN47" s="4">
        <v>0</v>
      </c>
      <c r="AO47" s="32">
        <f t="shared" si="21"/>
        <v>0</v>
      </c>
      <c r="AP47" s="32">
        <f t="shared" si="22"/>
        <v>0</v>
      </c>
      <c r="AS47" s="32">
        <f t="shared" si="23"/>
        <v>0</v>
      </c>
      <c r="AT47" s="32">
        <f t="shared" si="13"/>
        <v>0</v>
      </c>
      <c r="AU47" s="32">
        <f t="shared" si="24"/>
        <v>0</v>
      </c>
      <c r="AV47" s="4">
        <f t="shared" si="25"/>
        <v>0</v>
      </c>
      <c r="AW47" s="32">
        <f t="shared" si="26"/>
        <v>0</v>
      </c>
      <c r="AX47" s="4">
        <f t="shared" si="27"/>
        <v>0</v>
      </c>
      <c r="AY47" s="32">
        <f t="shared" si="28"/>
        <v>0</v>
      </c>
      <c r="AZ47" s="4">
        <f t="shared" si="29"/>
        <v>0</v>
      </c>
      <c r="BA47" s="32">
        <f t="shared" si="30"/>
        <v>0</v>
      </c>
      <c r="BB47" s="32">
        <f t="shared" si="14"/>
        <v>0</v>
      </c>
      <c r="BC47" s="32">
        <f t="shared" si="31"/>
        <v>0</v>
      </c>
      <c r="BD47" s="32">
        <f t="shared" si="32"/>
        <v>0</v>
      </c>
      <c r="BF47" s="32">
        <f t="shared" si="33"/>
        <v>0</v>
      </c>
      <c r="BG47" s="32">
        <f t="shared" si="15"/>
        <v>0</v>
      </c>
      <c r="BH47" s="32">
        <f t="shared" si="34"/>
        <v>0</v>
      </c>
      <c r="BI47" s="4">
        <f t="shared" si="35"/>
        <v>0</v>
      </c>
      <c r="BJ47" s="32">
        <f t="shared" si="36"/>
        <v>0</v>
      </c>
      <c r="BK47" s="4">
        <f t="shared" si="37"/>
        <v>0</v>
      </c>
      <c r="BL47" s="32">
        <f t="shared" si="38"/>
        <v>0</v>
      </c>
      <c r="BM47" s="4">
        <f t="shared" si="39"/>
        <v>0</v>
      </c>
      <c r="BN47" s="32">
        <f t="shared" si="40"/>
        <v>0</v>
      </c>
      <c r="BO47" s="4">
        <f t="shared" si="41"/>
        <v>0</v>
      </c>
      <c r="BP47" s="32">
        <f t="shared" si="42"/>
        <v>0</v>
      </c>
      <c r="BQ47" s="32">
        <f t="shared" si="43"/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</row>
    <row r="48" spans="1:121" x14ac:dyDescent="0.35">
      <c r="A48" s="84">
        <f>'2017 Prop share of contribs'!A44</f>
        <v>39</v>
      </c>
      <c r="B48" s="84" t="str">
        <f>'2017 Prop share of contribs'!B44</f>
        <v xml:space="preserve">GALLATIN COUNTY SCHOOLS  </v>
      </c>
      <c r="C48" s="25" t="s">
        <v>159</v>
      </c>
      <c r="D48" s="33">
        <f>ROUND('Employer Allocations'!G87,8)</f>
        <v>0</v>
      </c>
      <c r="E48" s="4">
        <f>ROUND('Employer Allocations'!H87,8)</f>
        <v>2.23485E-3</v>
      </c>
      <c r="F48" s="4">
        <f>ROUND('Employer Allocations'!I87,8)</f>
        <v>2.23485E-3</v>
      </c>
      <c r="G48" s="4">
        <v>0</v>
      </c>
      <c r="H48" s="4">
        <v>2.26195E-3</v>
      </c>
      <c r="I48" s="4">
        <v>2.26195E-3</v>
      </c>
      <c r="J48" s="7">
        <f t="shared" si="5"/>
        <v>0</v>
      </c>
      <c r="K48" s="7">
        <f t="shared" si="6"/>
        <v>60302386</v>
      </c>
      <c r="L48" s="7">
        <f t="shared" si="16"/>
        <v>60302386</v>
      </c>
      <c r="M48" s="7"/>
      <c r="N48" s="7">
        <f t="shared" si="7"/>
        <v>0</v>
      </c>
      <c r="O48" s="32">
        <f t="shared" si="8"/>
        <v>0</v>
      </c>
      <c r="P48" s="32"/>
      <c r="Q48" s="32">
        <f t="shared" si="9"/>
        <v>4292605</v>
      </c>
      <c r="R48" s="32">
        <f t="shared" si="17"/>
        <v>4292605</v>
      </c>
      <c r="S48" s="32">
        <f t="shared" si="18"/>
        <v>0</v>
      </c>
      <c r="T48" s="32">
        <f t="shared" si="10"/>
        <v>0</v>
      </c>
      <c r="U48" s="32">
        <f t="shared" si="46"/>
        <v>0</v>
      </c>
      <c r="V48" s="32">
        <f t="shared" si="46"/>
        <v>0</v>
      </c>
      <c r="W48" s="32">
        <f t="shared" si="46"/>
        <v>0</v>
      </c>
      <c r="X48" s="32">
        <f t="shared" si="19"/>
        <v>0</v>
      </c>
      <c r="Y48" s="32"/>
      <c r="Z48" s="32">
        <f t="shared" si="46"/>
        <v>0</v>
      </c>
      <c r="AA48" s="32">
        <f t="shared" si="46"/>
        <v>0</v>
      </c>
      <c r="AB48" s="32">
        <f t="shared" si="46"/>
        <v>0</v>
      </c>
      <c r="AC48" s="32">
        <f t="shared" si="20"/>
        <v>0</v>
      </c>
      <c r="AD48" s="32"/>
      <c r="AE48" s="32">
        <f t="shared" si="46"/>
        <v>0</v>
      </c>
      <c r="AF48" s="32">
        <f t="shared" si="46"/>
        <v>0</v>
      </c>
      <c r="AG48" s="32">
        <f t="shared" si="46"/>
        <v>0</v>
      </c>
      <c r="AH48" s="32">
        <f t="shared" si="46"/>
        <v>0</v>
      </c>
      <c r="AI48" s="32">
        <f t="shared" si="46"/>
        <v>0</v>
      </c>
      <c r="AJ48" s="32">
        <f t="shared" si="46"/>
        <v>0</v>
      </c>
      <c r="AK48" s="7">
        <v>0</v>
      </c>
      <c r="AL48" s="32">
        <v>0</v>
      </c>
      <c r="AM48" s="32"/>
      <c r="AN48" s="4">
        <v>0</v>
      </c>
      <c r="AO48" s="32">
        <f t="shared" si="21"/>
        <v>0</v>
      </c>
      <c r="AP48" s="32">
        <f t="shared" si="22"/>
        <v>0</v>
      </c>
      <c r="AS48" s="32">
        <f t="shared" si="23"/>
        <v>0</v>
      </c>
      <c r="AT48" s="32">
        <f t="shared" si="13"/>
        <v>0</v>
      </c>
      <c r="AU48" s="32">
        <f t="shared" si="24"/>
        <v>0</v>
      </c>
      <c r="AV48" s="4">
        <f t="shared" si="25"/>
        <v>0</v>
      </c>
      <c r="AW48" s="32">
        <f t="shared" si="26"/>
        <v>0</v>
      </c>
      <c r="AX48" s="4">
        <f t="shared" si="27"/>
        <v>0</v>
      </c>
      <c r="AY48" s="32">
        <f t="shared" si="28"/>
        <v>0</v>
      </c>
      <c r="AZ48" s="4">
        <f t="shared" si="29"/>
        <v>0</v>
      </c>
      <c r="BA48" s="32">
        <f t="shared" si="30"/>
        <v>0</v>
      </c>
      <c r="BB48" s="32">
        <f t="shared" si="14"/>
        <v>0</v>
      </c>
      <c r="BC48" s="32">
        <f t="shared" si="31"/>
        <v>0</v>
      </c>
      <c r="BD48" s="32">
        <f t="shared" si="32"/>
        <v>0</v>
      </c>
      <c r="BF48" s="32">
        <f t="shared" si="33"/>
        <v>0</v>
      </c>
      <c r="BG48" s="32">
        <f t="shared" si="15"/>
        <v>0</v>
      </c>
      <c r="BH48" s="32">
        <f t="shared" si="34"/>
        <v>0</v>
      </c>
      <c r="BI48" s="4">
        <f t="shared" si="35"/>
        <v>0</v>
      </c>
      <c r="BJ48" s="32">
        <f t="shared" si="36"/>
        <v>0</v>
      </c>
      <c r="BK48" s="4">
        <f t="shared" si="37"/>
        <v>0</v>
      </c>
      <c r="BL48" s="32">
        <f t="shared" si="38"/>
        <v>0</v>
      </c>
      <c r="BM48" s="4">
        <f t="shared" si="39"/>
        <v>0</v>
      </c>
      <c r="BN48" s="32">
        <f t="shared" si="40"/>
        <v>0</v>
      </c>
      <c r="BO48" s="4">
        <f t="shared" si="41"/>
        <v>0</v>
      </c>
      <c r="BP48" s="32">
        <f t="shared" si="42"/>
        <v>0</v>
      </c>
      <c r="BQ48" s="32">
        <f t="shared" si="43"/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</row>
    <row r="49" spans="1:121" x14ac:dyDescent="0.35">
      <c r="A49" s="84">
        <f>'2017 Prop share of contribs'!A45</f>
        <v>40</v>
      </c>
      <c r="B49" s="84" t="str">
        <f>'2017 Prop share of contribs'!B45</f>
        <v xml:space="preserve">GARRARD COUNTY SCHOOLS  </v>
      </c>
      <c r="C49" s="25" t="s">
        <v>160</v>
      </c>
      <c r="D49" s="33">
        <f>ROUND('Employer Allocations'!G88,8)</f>
        <v>0</v>
      </c>
      <c r="E49" s="4">
        <f>ROUND('Employer Allocations'!H88,8)</f>
        <v>3.2252399999999999E-3</v>
      </c>
      <c r="F49" s="4">
        <f>ROUND('Employer Allocations'!I88,8)</f>
        <v>3.2252399999999999E-3</v>
      </c>
      <c r="G49" s="4">
        <v>0</v>
      </c>
      <c r="H49" s="4">
        <v>3.4874799999999998E-3</v>
      </c>
      <c r="I49" s="4">
        <v>3.4874799999999998E-3</v>
      </c>
      <c r="J49" s="7">
        <f t="shared" si="5"/>
        <v>0</v>
      </c>
      <c r="K49" s="7">
        <f t="shared" si="6"/>
        <v>87025826</v>
      </c>
      <c r="L49" s="7">
        <f t="shared" si="16"/>
        <v>87025826</v>
      </c>
      <c r="M49" s="7"/>
      <c r="N49" s="7">
        <f t="shared" si="7"/>
        <v>0</v>
      </c>
      <c r="O49" s="32">
        <f t="shared" si="8"/>
        <v>0</v>
      </c>
      <c r="P49" s="32"/>
      <c r="Q49" s="32">
        <f t="shared" si="9"/>
        <v>6194904</v>
      </c>
      <c r="R49" s="32">
        <f t="shared" si="17"/>
        <v>6194904</v>
      </c>
      <c r="S49" s="32">
        <f t="shared" si="18"/>
        <v>0</v>
      </c>
      <c r="T49" s="32">
        <f t="shared" si="10"/>
        <v>0</v>
      </c>
      <c r="U49" s="32">
        <f t="shared" si="46"/>
        <v>0</v>
      </c>
      <c r="V49" s="32">
        <f t="shared" si="46"/>
        <v>0</v>
      </c>
      <c r="W49" s="32">
        <f t="shared" si="46"/>
        <v>0</v>
      </c>
      <c r="X49" s="32">
        <f t="shared" si="19"/>
        <v>0</v>
      </c>
      <c r="Y49" s="32"/>
      <c r="Z49" s="32">
        <f t="shared" si="46"/>
        <v>0</v>
      </c>
      <c r="AA49" s="32">
        <f t="shared" si="46"/>
        <v>0</v>
      </c>
      <c r="AB49" s="32">
        <f t="shared" si="46"/>
        <v>0</v>
      </c>
      <c r="AC49" s="32">
        <f t="shared" si="20"/>
        <v>0</v>
      </c>
      <c r="AD49" s="32"/>
      <c r="AE49" s="32">
        <f t="shared" si="46"/>
        <v>0</v>
      </c>
      <c r="AF49" s="32">
        <f t="shared" si="46"/>
        <v>0</v>
      </c>
      <c r="AG49" s="32">
        <f t="shared" si="46"/>
        <v>0</v>
      </c>
      <c r="AH49" s="32">
        <f t="shared" si="46"/>
        <v>0</v>
      </c>
      <c r="AI49" s="32">
        <f t="shared" si="46"/>
        <v>0</v>
      </c>
      <c r="AJ49" s="32">
        <f t="shared" si="46"/>
        <v>0</v>
      </c>
      <c r="AK49" s="7">
        <v>0</v>
      </c>
      <c r="AL49" s="32">
        <v>0</v>
      </c>
      <c r="AM49" s="32"/>
      <c r="AN49" s="4">
        <v>0</v>
      </c>
      <c r="AO49" s="32">
        <f t="shared" si="21"/>
        <v>0</v>
      </c>
      <c r="AP49" s="32">
        <f t="shared" si="22"/>
        <v>0</v>
      </c>
      <c r="AS49" s="32">
        <f t="shared" si="23"/>
        <v>0</v>
      </c>
      <c r="AT49" s="32">
        <f t="shared" si="13"/>
        <v>0</v>
      </c>
      <c r="AU49" s="32">
        <f t="shared" si="24"/>
        <v>0</v>
      </c>
      <c r="AV49" s="4">
        <f t="shared" si="25"/>
        <v>0</v>
      </c>
      <c r="AW49" s="32">
        <f t="shared" si="26"/>
        <v>0</v>
      </c>
      <c r="AX49" s="4">
        <f t="shared" si="27"/>
        <v>0</v>
      </c>
      <c r="AY49" s="32">
        <f t="shared" si="28"/>
        <v>0</v>
      </c>
      <c r="AZ49" s="4">
        <f t="shared" si="29"/>
        <v>0</v>
      </c>
      <c r="BA49" s="32">
        <f t="shared" si="30"/>
        <v>0</v>
      </c>
      <c r="BB49" s="32">
        <f t="shared" si="14"/>
        <v>0</v>
      </c>
      <c r="BC49" s="32">
        <f t="shared" si="31"/>
        <v>0</v>
      </c>
      <c r="BD49" s="32">
        <f t="shared" si="32"/>
        <v>0</v>
      </c>
      <c r="BF49" s="32">
        <f t="shared" si="33"/>
        <v>0</v>
      </c>
      <c r="BG49" s="32">
        <f t="shared" si="15"/>
        <v>0</v>
      </c>
      <c r="BH49" s="32">
        <f t="shared" si="34"/>
        <v>0</v>
      </c>
      <c r="BI49" s="4">
        <f t="shared" si="35"/>
        <v>0</v>
      </c>
      <c r="BJ49" s="32">
        <f t="shared" si="36"/>
        <v>0</v>
      </c>
      <c r="BK49" s="4">
        <f t="shared" si="37"/>
        <v>0</v>
      </c>
      <c r="BL49" s="32">
        <f t="shared" si="38"/>
        <v>0</v>
      </c>
      <c r="BM49" s="4">
        <f t="shared" si="39"/>
        <v>0</v>
      </c>
      <c r="BN49" s="32">
        <f t="shared" si="40"/>
        <v>0</v>
      </c>
      <c r="BO49" s="4">
        <f t="shared" si="41"/>
        <v>0</v>
      </c>
      <c r="BP49" s="32">
        <f t="shared" si="42"/>
        <v>0</v>
      </c>
      <c r="BQ49" s="32">
        <f t="shared" si="43"/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</row>
    <row r="50" spans="1:121" x14ac:dyDescent="0.35">
      <c r="A50" s="84">
        <f>'2017 Prop share of contribs'!A46</f>
        <v>41</v>
      </c>
      <c r="B50" s="84" t="str">
        <f>'2017 Prop share of contribs'!B46</f>
        <v xml:space="preserve">GRANT COUNTY SCHOOLS  </v>
      </c>
      <c r="C50" s="25" t="s">
        <v>161</v>
      </c>
      <c r="D50" s="33">
        <f>ROUND('Employer Allocations'!G89,8)</f>
        <v>0</v>
      </c>
      <c r="E50" s="4">
        <f>ROUND('Employer Allocations'!H89,8)</f>
        <v>4.77759E-3</v>
      </c>
      <c r="F50" s="4">
        <f>ROUND('Employer Allocations'!I89,8)</f>
        <v>4.77759E-3</v>
      </c>
      <c r="G50" s="4">
        <v>0</v>
      </c>
      <c r="H50" s="4">
        <v>4.7677199999999996E-3</v>
      </c>
      <c r="I50" s="4">
        <v>4.7677199999999996E-3</v>
      </c>
      <c r="J50" s="7">
        <f t="shared" si="5"/>
        <v>0</v>
      </c>
      <c r="K50" s="7">
        <f t="shared" si="6"/>
        <v>128912489</v>
      </c>
      <c r="L50" s="7">
        <f t="shared" si="16"/>
        <v>128912489</v>
      </c>
      <c r="M50" s="7"/>
      <c r="N50" s="7">
        <f t="shared" si="7"/>
        <v>0</v>
      </c>
      <c r="O50" s="32">
        <f t="shared" si="8"/>
        <v>0</v>
      </c>
      <c r="P50" s="32"/>
      <c r="Q50" s="32">
        <f t="shared" si="9"/>
        <v>9176593</v>
      </c>
      <c r="R50" s="32">
        <f t="shared" si="17"/>
        <v>9176593</v>
      </c>
      <c r="S50" s="32">
        <f t="shared" si="18"/>
        <v>0</v>
      </c>
      <c r="T50" s="32">
        <f t="shared" si="10"/>
        <v>0</v>
      </c>
      <c r="U50" s="32">
        <f t="shared" ref="U50:AJ65" si="47">ROUND(U$2*$D50,0)</f>
        <v>0</v>
      </c>
      <c r="V50" s="32">
        <f t="shared" si="47"/>
        <v>0</v>
      </c>
      <c r="W50" s="32">
        <f t="shared" si="47"/>
        <v>0</v>
      </c>
      <c r="X50" s="32">
        <f t="shared" si="19"/>
        <v>0</v>
      </c>
      <c r="Y50" s="32"/>
      <c r="Z50" s="32">
        <f t="shared" si="47"/>
        <v>0</v>
      </c>
      <c r="AA50" s="32">
        <f t="shared" si="47"/>
        <v>0</v>
      </c>
      <c r="AB50" s="32">
        <f t="shared" si="47"/>
        <v>0</v>
      </c>
      <c r="AC50" s="32">
        <f t="shared" si="20"/>
        <v>0</v>
      </c>
      <c r="AD50" s="32"/>
      <c r="AE50" s="32">
        <f t="shared" si="47"/>
        <v>0</v>
      </c>
      <c r="AF50" s="32">
        <f t="shared" si="47"/>
        <v>0</v>
      </c>
      <c r="AG50" s="32">
        <f t="shared" si="47"/>
        <v>0</v>
      </c>
      <c r="AH50" s="32">
        <f t="shared" si="47"/>
        <v>0</v>
      </c>
      <c r="AI50" s="32">
        <f t="shared" si="47"/>
        <v>0</v>
      </c>
      <c r="AJ50" s="32">
        <f t="shared" si="46"/>
        <v>0</v>
      </c>
      <c r="AK50" s="7">
        <v>0</v>
      </c>
      <c r="AL50" s="32">
        <v>0</v>
      </c>
      <c r="AM50" s="32"/>
      <c r="AN50" s="4">
        <v>0</v>
      </c>
      <c r="AO50" s="32">
        <f t="shared" si="21"/>
        <v>0</v>
      </c>
      <c r="AP50" s="32">
        <f t="shared" si="22"/>
        <v>0</v>
      </c>
      <c r="AS50" s="32">
        <f t="shared" si="23"/>
        <v>0</v>
      </c>
      <c r="AT50" s="32">
        <f t="shared" si="13"/>
        <v>0</v>
      </c>
      <c r="AU50" s="32">
        <f t="shared" si="24"/>
        <v>0</v>
      </c>
      <c r="AV50" s="4">
        <f t="shared" si="25"/>
        <v>0</v>
      </c>
      <c r="AW50" s="32">
        <f t="shared" si="26"/>
        <v>0</v>
      </c>
      <c r="AX50" s="4">
        <f t="shared" si="27"/>
        <v>0</v>
      </c>
      <c r="AY50" s="32">
        <f t="shared" si="28"/>
        <v>0</v>
      </c>
      <c r="AZ50" s="4">
        <f t="shared" si="29"/>
        <v>0</v>
      </c>
      <c r="BA50" s="32">
        <f t="shared" si="30"/>
        <v>0</v>
      </c>
      <c r="BB50" s="32">
        <f t="shared" si="14"/>
        <v>0</v>
      </c>
      <c r="BC50" s="32">
        <f t="shared" si="31"/>
        <v>0</v>
      </c>
      <c r="BD50" s="32">
        <f t="shared" si="32"/>
        <v>0</v>
      </c>
      <c r="BF50" s="32">
        <f t="shared" si="33"/>
        <v>0</v>
      </c>
      <c r="BG50" s="32">
        <f t="shared" si="15"/>
        <v>0</v>
      </c>
      <c r="BH50" s="32">
        <f t="shared" si="34"/>
        <v>0</v>
      </c>
      <c r="BI50" s="4">
        <f t="shared" si="35"/>
        <v>0</v>
      </c>
      <c r="BJ50" s="32">
        <f t="shared" si="36"/>
        <v>0</v>
      </c>
      <c r="BK50" s="4">
        <f t="shared" si="37"/>
        <v>0</v>
      </c>
      <c r="BL50" s="32">
        <f t="shared" si="38"/>
        <v>0</v>
      </c>
      <c r="BM50" s="4">
        <f t="shared" si="39"/>
        <v>0</v>
      </c>
      <c r="BN50" s="32">
        <f t="shared" si="40"/>
        <v>0</v>
      </c>
      <c r="BO50" s="4">
        <f t="shared" si="41"/>
        <v>0</v>
      </c>
      <c r="BP50" s="32">
        <f t="shared" si="42"/>
        <v>0</v>
      </c>
      <c r="BQ50" s="32">
        <f t="shared" si="43"/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  <c r="DO50" s="4">
        <v>0</v>
      </c>
      <c r="DP50" s="4">
        <v>0</v>
      </c>
      <c r="DQ50" s="4">
        <v>0</v>
      </c>
    </row>
    <row r="51" spans="1:121" x14ac:dyDescent="0.35">
      <c r="A51" s="84">
        <f>'2017 Prop share of contribs'!A47</f>
        <v>42</v>
      </c>
      <c r="B51" s="84" t="str">
        <f>'2017 Prop share of contribs'!B47</f>
        <v xml:space="preserve">GRAVES COUNTY SCHOOLS  </v>
      </c>
      <c r="C51" s="25" t="s">
        <v>162</v>
      </c>
      <c r="D51" s="33">
        <f>ROUND('Employer Allocations'!G90,8)</f>
        <v>0</v>
      </c>
      <c r="E51" s="4">
        <f>ROUND('Employer Allocations'!H90,8)</f>
        <v>5.7263499999999998E-3</v>
      </c>
      <c r="F51" s="4">
        <f>ROUND('Employer Allocations'!I90,8)</f>
        <v>5.7263499999999998E-3</v>
      </c>
      <c r="G51" s="4">
        <v>0</v>
      </c>
      <c r="H51" s="4">
        <v>5.6316200000000004E-3</v>
      </c>
      <c r="I51" s="4">
        <v>5.6316200000000004E-3</v>
      </c>
      <c r="J51" s="7">
        <f t="shared" si="5"/>
        <v>0</v>
      </c>
      <c r="K51" s="7">
        <f t="shared" si="6"/>
        <v>154512637</v>
      </c>
      <c r="L51" s="7">
        <f t="shared" si="16"/>
        <v>154512637</v>
      </c>
      <c r="M51" s="7"/>
      <c r="N51" s="7">
        <f t="shared" si="7"/>
        <v>0</v>
      </c>
      <c r="O51" s="32">
        <f t="shared" si="8"/>
        <v>0</v>
      </c>
      <c r="P51" s="32"/>
      <c r="Q51" s="32">
        <f t="shared" si="9"/>
        <v>10998931</v>
      </c>
      <c r="R51" s="32">
        <f t="shared" si="17"/>
        <v>10998931</v>
      </c>
      <c r="S51" s="32">
        <f t="shared" si="18"/>
        <v>0</v>
      </c>
      <c r="T51" s="32">
        <f t="shared" si="10"/>
        <v>0</v>
      </c>
      <c r="U51" s="32">
        <f t="shared" si="47"/>
        <v>0</v>
      </c>
      <c r="V51" s="32">
        <f t="shared" si="47"/>
        <v>0</v>
      </c>
      <c r="W51" s="32">
        <f t="shared" si="47"/>
        <v>0</v>
      </c>
      <c r="X51" s="32">
        <f t="shared" si="19"/>
        <v>0</v>
      </c>
      <c r="Y51" s="32"/>
      <c r="Z51" s="32">
        <f t="shared" si="47"/>
        <v>0</v>
      </c>
      <c r="AA51" s="32">
        <f t="shared" si="47"/>
        <v>0</v>
      </c>
      <c r="AB51" s="32">
        <f t="shared" si="47"/>
        <v>0</v>
      </c>
      <c r="AC51" s="32">
        <f t="shared" si="20"/>
        <v>0</v>
      </c>
      <c r="AD51" s="32"/>
      <c r="AE51" s="32">
        <f t="shared" si="47"/>
        <v>0</v>
      </c>
      <c r="AF51" s="32">
        <f t="shared" si="47"/>
        <v>0</v>
      </c>
      <c r="AG51" s="32">
        <f t="shared" si="47"/>
        <v>0</v>
      </c>
      <c r="AH51" s="32">
        <f t="shared" si="47"/>
        <v>0</v>
      </c>
      <c r="AI51" s="32">
        <f t="shared" si="47"/>
        <v>0</v>
      </c>
      <c r="AJ51" s="32">
        <f t="shared" si="46"/>
        <v>0</v>
      </c>
      <c r="AK51" s="7">
        <v>0</v>
      </c>
      <c r="AL51" s="32">
        <v>0</v>
      </c>
      <c r="AM51" s="32"/>
      <c r="AN51" s="4">
        <v>0</v>
      </c>
      <c r="AO51" s="32">
        <f t="shared" si="21"/>
        <v>0</v>
      </c>
      <c r="AP51" s="32">
        <f t="shared" si="22"/>
        <v>0</v>
      </c>
      <c r="AS51" s="32">
        <f t="shared" si="23"/>
        <v>0</v>
      </c>
      <c r="AT51" s="32">
        <f t="shared" si="13"/>
        <v>0</v>
      </c>
      <c r="AU51" s="32">
        <f t="shared" si="24"/>
        <v>0</v>
      </c>
      <c r="AV51" s="4">
        <f t="shared" si="25"/>
        <v>0</v>
      </c>
      <c r="AW51" s="32">
        <f t="shared" si="26"/>
        <v>0</v>
      </c>
      <c r="AX51" s="4">
        <f t="shared" si="27"/>
        <v>0</v>
      </c>
      <c r="AY51" s="32">
        <f t="shared" si="28"/>
        <v>0</v>
      </c>
      <c r="AZ51" s="4">
        <f t="shared" si="29"/>
        <v>0</v>
      </c>
      <c r="BA51" s="32">
        <f t="shared" si="30"/>
        <v>0</v>
      </c>
      <c r="BB51" s="32">
        <f t="shared" si="14"/>
        <v>0</v>
      </c>
      <c r="BC51" s="32">
        <f t="shared" si="31"/>
        <v>0</v>
      </c>
      <c r="BD51" s="32">
        <f t="shared" si="32"/>
        <v>0</v>
      </c>
      <c r="BF51" s="32">
        <f t="shared" si="33"/>
        <v>0</v>
      </c>
      <c r="BG51" s="32">
        <f t="shared" si="15"/>
        <v>0</v>
      </c>
      <c r="BH51" s="32">
        <f t="shared" si="34"/>
        <v>0</v>
      </c>
      <c r="BI51" s="4">
        <f t="shared" si="35"/>
        <v>0</v>
      </c>
      <c r="BJ51" s="32">
        <f t="shared" si="36"/>
        <v>0</v>
      </c>
      <c r="BK51" s="4">
        <f t="shared" si="37"/>
        <v>0</v>
      </c>
      <c r="BL51" s="32">
        <f t="shared" si="38"/>
        <v>0</v>
      </c>
      <c r="BM51" s="4">
        <f t="shared" si="39"/>
        <v>0</v>
      </c>
      <c r="BN51" s="32">
        <f t="shared" si="40"/>
        <v>0</v>
      </c>
      <c r="BO51" s="4">
        <f t="shared" si="41"/>
        <v>0</v>
      </c>
      <c r="BP51" s="32">
        <f t="shared" si="42"/>
        <v>0</v>
      </c>
      <c r="BQ51" s="32">
        <f t="shared" si="43"/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  <c r="DO51" s="4">
        <v>0</v>
      </c>
      <c r="DP51" s="4">
        <v>0</v>
      </c>
      <c r="DQ51" s="4">
        <v>0</v>
      </c>
    </row>
    <row r="52" spans="1:121" x14ac:dyDescent="0.35">
      <c r="A52" s="84">
        <f>'2017 Prop share of contribs'!A48</f>
        <v>43</v>
      </c>
      <c r="B52" s="84" t="str">
        <f>'2017 Prop share of contribs'!B48</f>
        <v xml:space="preserve">GRAYSON COUNTY SCHOOLS  </v>
      </c>
      <c r="C52" s="25" t="s">
        <v>163</v>
      </c>
      <c r="D52" s="33">
        <f>ROUND('Employer Allocations'!G91,8)</f>
        <v>0</v>
      </c>
      <c r="E52" s="4">
        <f>ROUND('Employer Allocations'!H91,8)</f>
        <v>5.3098099999999999E-3</v>
      </c>
      <c r="F52" s="4">
        <f>ROUND('Employer Allocations'!I91,8)</f>
        <v>5.3098099999999999E-3</v>
      </c>
      <c r="G52" s="4">
        <v>0</v>
      </c>
      <c r="H52" s="4">
        <v>5.3188300000000001E-3</v>
      </c>
      <c r="I52" s="4">
        <v>5.3188300000000001E-3</v>
      </c>
      <c r="J52" s="7">
        <f t="shared" si="5"/>
        <v>0</v>
      </c>
      <c r="K52" s="7">
        <f t="shared" si="6"/>
        <v>143273245</v>
      </c>
      <c r="L52" s="7">
        <f t="shared" si="16"/>
        <v>143273245</v>
      </c>
      <c r="M52" s="7"/>
      <c r="N52" s="7">
        <f t="shared" si="7"/>
        <v>0</v>
      </c>
      <c r="O52" s="32">
        <f t="shared" si="8"/>
        <v>0</v>
      </c>
      <c r="P52" s="32"/>
      <c r="Q52" s="32">
        <f t="shared" si="9"/>
        <v>10198858</v>
      </c>
      <c r="R52" s="32">
        <f t="shared" si="17"/>
        <v>10198858</v>
      </c>
      <c r="S52" s="32">
        <f t="shared" si="18"/>
        <v>0</v>
      </c>
      <c r="T52" s="32">
        <f t="shared" si="10"/>
        <v>0</v>
      </c>
      <c r="U52" s="32">
        <f t="shared" si="47"/>
        <v>0</v>
      </c>
      <c r="V52" s="32">
        <f t="shared" si="47"/>
        <v>0</v>
      </c>
      <c r="W52" s="32">
        <f t="shared" si="47"/>
        <v>0</v>
      </c>
      <c r="X52" s="32">
        <f t="shared" si="19"/>
        <v>0</v>
      </c>
      <c r="Y52" s="32"/>
      <c r="Z52" s="32">
        <f t="shared" si="47"/>
        <v>0</v>
      </c>
      <c r="AA52" s="32">
        <f t="shared" si="47"/>
        <v>0</v>
      </c>
      <c r="AB52" s="32">
        <f t="shared" si="47"/>
        <v>0</v>
      </c>
      <c r="AC52" s="32">
        <f t="shared" si="20"/>
        <v>0</v>
      </c>
      <c r="AD52" s="32"/>
      <c r="AE52" s="32">
        <f t="shared" si="47"/>
        <v>0</v>
      </c>
      <c r="AF52" s="32">
        <f t="shared" si="47"/>
        <v>0</v>
      </c>
      <c r="AG52" s="32">
        <f t="shared" si="47"/>
        <v>0</v>
      </c>
      <c r="AH52" s="32">
        <f t="shared" si="47"/>
        <v>0</v>
      </c>
      <c r="AI52" s="32">
        <f t="shared" si="47"/>
        <v>0</v>
      </c>
      <c r="AJ52" s="32">
        <f t="shared" si="46"/>
        <v>0</v>
      </c>
      <c r="AK52" s="7">
        <v>0</v>
      </c>
      <c r="AL52" s="32">
        <v>0</v>
      </c>
      <c r="AM52" s="32"/>
      <c r="AN52" s="4">
        <v>0</v>
      </c>
      <c r="AO52" s="32">
        <f t="shared" si="21"/>
        <v>0</v>
      </c>
      <c r="AP52" s="32">
        <f t="shared" si="22"/>
        <v>0</v>
      </c>
      <c r="AS52" s="32">
        <f t="shared" si="23"/>
        <v>0</v>
      </c>
      <c r="AT52" s="32">
        <f t="shared" si="13"/>
        <v>0</v>
      </c>
      <c r="AU52" s="32">
        <f t="shared" si="24"/>
        <v>0</v>
      </c>
      <c r="AV52" s="4">
        <f t="shared" si="25"/>
        <v>0</v>
      </c>
      <c r="AW52" s="32">
        <f t="shared" si="26"/>
        <v>0</v>
      </c>
      <c r="AX52" s="4">
        <f t="shared" si="27"/>
        <v>0</v>
      </c>
      <c r="AY52" s="32">
        <f t="shared" si="28"/>
        <v>0</v>
      </c>
      <c r="AZ52" s="4">
        <f t="shared" si="29"/>
        <v>0</v>
      </c>
      <c r="BA52" s="32">
        <f t="shared" si="30"/>
        <v>0</v>
      </c>
      <c r="BB52" s="32">
        <f t="shared" si="14"/>
        <v>0</v>
      </c>
      <c r="BC52" s="32">
        <f t="shared" si="31"/>
        <v>0</v>
      </c>
      <c r="BD52" s="32">
        <f t="shared" si="32"/>
        <v>0</v>
      </c>
      <c r="BF52" s="32">
        <f t="shared" si="33"/>
        <v>0</v>
      </c>
      <c r="BG52" s="32">
        <f t="shared" si="15"/>
        <v>0</v>
      </c>
      <c r="BH52" s="32">
        <f t="shared" si="34"/>
        <v>0</v>
      </c>
      <c r="BI52" s="4">
        <f t="shared" si="35"/>
        <v>0</v>
      </c>
      <c r="BJ52" s="32">
        <f t="shared" si="36"/>
        <v>0</v>
      </c>
      <c r="BK52" s="4">
        <f t="shared" si="37"/>
        <v>0</v>
      </c>
      <c r="BL52" s="32">
        <f t="shared" si="38"/>
        <v>0</v>
      </c>
      <c r="BM52" s="4">
        <f t="shared" si="39"/>
        <v>0</v>
      </c>
      <c r="BN52" s="32">
        <f t="shared" si="40"/>
        <v>0</v>
      </c>
      <c r="BO52" s="4">
        <f t="shared" si="41"/>
        <v>0</v>
      </c>
      <c r="BP52" s="32">
        <f t="shared" si="42"/>
        <v>0</v>
      </c>
      <c r="BQ52" s="32">
        <f t="shared" si="43"/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  <c r="DO52" s="4">
        <v>0</v>
      </c>
      <c r="DP52" s="4">
        <v>0</v>
      </c>
      <c r="DQ52" s="4">
        <v>0</v>
      </c>
    </row>
    <row r="53" spans="1:121" x14ac:dyDescent="0.35">
      <c r="A53" s="84">
        <f>'2017 Prop share of contribs'!A49</f>
        <v>44</v>
      </c>
      <c r="B53" s="84" t="str">
        <f>'2017 Prop share of contribs'!B49</f>
        <v xml:space="preserve">GREEN COUNTY SCHOOLS  </v>
      </c>
      <c r="C53" s="25" t="s">
        <v>164</v>
      </c>
      <c r="D53" s="33">
        <f>ROUND('Employer Allocations'!G92,8)</f>
        <v>0</v>
      </c>
      <c r="E53" s="4">
        <f>ROUND('Employer Allocations'!H92,8)</f>
        <v>2.2087600000000002E-3</v>
      </c>
      <c r="F53" s="4">
        <f>ROUND('Employer Allocations'!I92,8)</f>
        <v>2.2087600000000002E-3</v>
      </c>
      <c r="G53" s="4">
        <v>0</v>
      </c>
      <c r="H53" s="4">
        <v>2.2132900000000001E-3</v>
      </c>
      <c r="I53" s="4">
        <v>2.2132900000000001E-3</v>
      </c>
      <c r="J53" s="7">
        <f t="shared" si="5"/>
        <v>0</v>
      </c>
      <c r="K53" s="7">
        <f t="shared" si="6"/>
        <v>59598406</v>
      </c>
      <c r="L53" s="7">
        <f t="shared" si="16"/>
        <v>59598406</v>
      </c>
      <c r="M53" s="7"/>
      <c r="N53" s="7">
        <f t="shared" si="7"/>
        <v>0</v>
      </c>
      <c r="O53" s="32">
        <f t="shared" si="8"/>
        <v>0</v>
      </c>
      <c r="P53" s="32"/>
      <c r="Q53" s="32">
        <f t="shared" si="9"/>
        <v>4242493</v>
      </c>
      <c r="R53" s="32">
        <f t="shared" si="17"/>
        <v>4242493</v>
      </c>
      <c r="S53" s="32">
        <f t="shared" si="18"/>
        <v>0</v>
      </c>
      <c r="T53" s="32">
        <f t="shared" si="10"/>
        <v>0</v>
      </c>
      <c r="U53" s="32">
        <f t="shared" si="47"/>
        <v>0</v>
      </c>
      <c r="V53" s="32">
        <f t="shared" si="47"/>
        <v>0</v>
      </c>
      <c r="W53" s="32">
        <f t="shared" si="47"/>
        <v>0</v>
      </c>
      <c r="X53" s="32">
        <f t="shared" si="19"/>
        <v>0</v>
      </c>
      <c r="Y53" s="32"/>
      <c r="Z53" s="32">
        <f t="shared" si="47"/>
        <v>0</v>
      </c>
      <c r="AA53" s="32">
        <f t="shared" si="47"/>
        <v>0</v>
      </c>
      <c r="AB53" s="32">
        <f t="shared" si="47"/>
        <v>0</v>
      </c>
      <c r="AC53" s="32">
        <f t="shared" si="20"/>
        <v>0</v>
      </c>
      <c r="AD53" s="32"/>
      <c r="AE53" s="32">
        <f t="shared" si="47"/>
        <v>0</v>
      </c>
      <c r="AF53" s="32">
        <f t="shared" si="47"/>
        <v>0</v>
      </c>
      <c r="AG53" s="32">
        <f t="shared" si="47"/>
        <v>0</v>
      </c>
      <c r="AH53" s="32">
        <f t="shared" si="47"/>
        <v>0</v>
      </c>
      <c r="AI53" s="32">
        <f t="shared" si="47"/>
        <v>0</v>
      </c>
      <c r="AJ53" s="32">
        <f t="shared" si="46"/>
        <v>0</v>
      </c>
      <c r="AK53" s="7">
        <v>0</v>
      </c>
      <c r="AL53" s="32">
        <v>0</v>
      </c>
      <c r="AM53" s="32"/>
      <c r="AN53" s="4">
        <v>0</v>
      </c>
      <c r="AO53" s="32">
        <f t="shared" si="21"/>
        <v>0</v>
      </c>
      <c r="AP53" s="32">
        <f t="shared" si="22"/>
        <v>0</v>
      </c>
      <c r="AS53" s="32">
        <f t="shared" si="23"/>
        <v>0</v>
      </c>
      <c r="AT53" s="32">
        <f t="shared" si="13"/>
        <v>0</v>
      </c>
      <c r="AU53" s="32">
        <f t="shared" si="24"/>
        <v>0</v>
      </c>
      <c r="AV53" s="4">
        <f t="shared" si="25"/>
        <v>0</v>
      </c>
      <c r="AW53" s="32">
        <f t="shared" si="26"/>
        <v>0</v>
      </c>
      <c r="AX53" s="4">
        <f t="shared" si="27"/>
        <v>0</v>
      </c>
      <c r="AY53" s="32">
        <f t="shared" si="28"/>
        <v>0</v>
      </c>
      <c r="AZ53" s="4">
        <f t="shared" si="29"/>
        <v>0</v>
      </c>
      <c r="BA53" s="32">
        <f t="shared" si="30"/>
        <v>0</v>
      </c>
      <c r="BB53" s="32">
        <f t="shared" si="14"/>
        <v>0</v>
      </c>
      <c r="BC53" s="32">
        <f t="shared" si="31"/>
        <v>0</v>
      </c>
      <c r="BD53" s="32">
        <f t="shared" si="32"/>
        <v>0</v>
      </c>
      <c r="BF53" s="32">
        <f t="shared" si="33"/>
        <v>0</v>
      </c>
      <c r="BG53" s="32">
        <f t="shared" si="15"/>
        <v>0</v>
      </c>
      <c r="BH53" s="32">
        <f t="shared" si="34"/>
        <v>0</v>
      </c>
      <c r="BI53" s="4">
        <f t="shared" si="35"/>
        <v>0</v>
      </c>
      <c r="BJ53" s="32">
        <f t="shared" si="36"/>
        <v>0</v>
      </c>
      <c r="BK53" s="4">
        <f t="shared" si="37"/>
        <v>0</v>
      </c>
      <c r="BL53" s="32">
        <f t="shared" si="38"/>
        <v>0</v>
      </c>
      <c r="BM53" s="4">
        <f t="shared" si="39"/>
        <v>0</v>
      </c>
      <c r="BN53" s="32">
        <f t="shared" si="40"/>
        <v>0</v>
      </c>
      <c r="BO53" s="4">
        <f t="shared" si="41"/>
        <v>0</v>
      </c>
      <c r="BP53" s="32">
        <f t="shared" si="42"/>
        <v>0</v>
      </c>
      <c r="BQ53" s="32">
        <f t="shared" si="43"/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</row>
    <row r="54" spans="1:121" x14ac:dyDescent="0.35">
      <c r="A54" s="84">
        <f>'2017 Prop share of contribs'!A50</f>
        <v>45</v>
      </c>
      <c r="B54" s="84" t="str">
        <f>'2017 Prop share of contribs'!B50</f>
        <v xml:space="preserve">GREENUP COUNTY SCHOOLS  </v>
      </c>
      <c r="C54" s="25" t="s">
        <v>165</v>
      </c>
      <c r="D54" s="33">
        <f>ROUND('Employer Allocations'!G93,8)</f>
        <v>0</v>
      </c>
      <c r="E54" s="4">
        <f>ROUND('Employer Allocations'!H93,8)</f>
        <v>3.79241E-3</v>
      </c>
      <c r="F54" s="4">
        <f>ROUND('Employer Allocations'!I93,8)</f>
        <v>3.79241E-3</v>
      </c>
      <c r="G54" s="4">
        <v>0</v>
      </c>
      <c r="H54" s="4">
        <v>3.7262799999999998E-3</v>
      </c>
      <c r="I54" s="4">
        <v>3.7262799999999998E-3</v>
      </c>
      <c r="J54" s="7">
        <f t="shared" si="5"/>
        <v>0</v>
      </c>
      <c r="K54" s="7">
        <f t="shared" si="6"/>
        <v>102329629</v>
      </c>
      <c r="L54" s="7">
        <f t="shared" si="16"/>
        <v>102329629</v>
      </c>
      <c r="M54" s="7"/>
      <c r="N54" s="7">
        <f t="shared" si="7"/>
        <v>0</v>
      </c>
      <c r="O54" s="32">
        <f t="shared" si="8"/>
        <v>0</v>
      </c>
      <c r="P54" s="32"/>
      <c r="Q54" s="32">
        <f t="shared" si="9"/>
        <v>7284301</v>
      </c>
      <c r="R54" s="32">
        <f t="shared" si="17"/>
        <v>7284301</v>
      </c>
      <c r="S54" s="32">
        <f t="shared" si="18"/>
        <v>0</v>
      </c>
      <c r="T54" s="32">
        <f t="shared" si="10"/>
        <v>0</v>
      </c>
      <c r="U54" s="32">
        <f t="shared" si="47"/>
        <v>0</v>
      </c>
      <c r="V54" s="32">
        <f t="shared" si="47"/>
        <v>0</v>
      </c>
      <c r="W54" s="32">
        <f t="shared" si="47"/>
        <v>0</v>
      </c>
      <c r="X54" s="32">
        <f t="shared" si="19"/>
        <v>0</v>
      </c>
      <c r="Y54" s="32"/>
      <c r="Z54" s="32">
        <f t="shared" si="47"/>
        <v>0</v>
      </c>
      <c r="AA54" s="32">
        <f t="shared" si="47"/>
        <v>0</v>
      </c>
      <c r="AB54" s="32">
        <f t="shared" si="47"/>
        <v>0</v>
      </c>
      <c r="AC54" s="32">
        <f t="shared" si="20"/>
        <v>0</v>
      </c>
      <c r="AD54" s="32"/>
      <c r="AE54" s="32">
        <f t="shared" si="47"/>
        <v>0</v>
      </c>
      <c r="AF54" s="32">
        <f t="shared" si="47"/>
        <v>0</v>
      </c>
      <c r="AG54" s="32">
        <f t="shared" si="47"/>
        <v>0</v>
      </c>
      <c r="AH54" s="32">
        <f t="shared" si="47"/>
        <v>0</v>
      </c>
      <c r="AI54" s="32">
        <f t="shared" si="47"/>
        <v>0</v>
      </c>
      <c r="AJ54" s="32">
        <f t="shared" si="46"/>
        <v>0</v>
      </c>
      <c r="AK54" s="7">
        <v>0</v>
      </c>
      <c r="AL54" s="32">
        <v>0</v>
      </c>
      <c r="AM54" s="32"/>
      <c r="AN54" s="4">
        <v>0</v>
      </c>
      <c r="AO54" s="32">
        <f t="shared" si="21"/>
        <v>0</v>
      </c>
      <c r="AP54" s="32">
        <f t="shared" si="22"/>
        <v>0</v>
      </c>
      <c r="AS54" s="32">
        <f t="shared" si="23"/>
        <v>0</v>
      </c>
      <c r="AT54" s="32">
        <f t="shared" si="13"/>
        <v>0</v>
      </c>
      <c r="AU54" s="32">
        <f t="shared" si="24"/>
        <v>0</v>
      </c>
      <c r="AV54" s="4">
        <f t="shared" si="25"/>
        <v>0</v>
      </c>
      <c r="AW54" s="32">
        <f t="shared" si="26"/>
        <v>0</v>
      </c>
      <c r="AX54" s="4">
        <f t="shared" si="27"/>
        <v>0</v>
      </c>
      <c r="AY54" s="32">
        <f t="shared" si="28"/>
        <v>0</v>
      </c>
      <c r="AZ54" s="4">
        <f t="shared" si="29"/>
        <v>0</v>
      </c>
      <c r="BA54" s="32">
        <f t="shared" si="30"/>
        <v>0</v>
      </c>
      <c r="BB54" s="32">
        <f t="shared" si="14"/>
        <v>0</v>
      </c>
      <c r="BC54" s="32">
        <f t="shared" si="31"/>
        <v>0</v>
      </c>
      <c r="BD54" s="32">
        <f t="shared" si="32"/>
        <v>0</v>
      </c>
      <c r="BF54" s="32">
        <f t="shared" si="33"/>
        <v>0</v>
      </c>
      <c r="BG54" s="32">
        <f t="shared" si="15"/>
        <v>0</v>
      </c>
      <c r="BH54" s="32">
        <f t="shared" si="34"/>
        <v>0</v>
      </c>
      <c r="BI54" s="4">
        <f t="shared" si="35"/>
        <v>0</v>
      </c>
      <c r="BJ54" s="32">
        <f t="shared" si="36"/>
        <v>0</v>
      </c>
      <c r="BK54" s="4">
        <f t="shared" si="37"/>
        <v>0</v>
      </c>
      <c r="BL54" s="32">
        <f t="shared" si="38"/>
        <v>0</v>
      </c>
      <c r="BM54" s="4">
        <f t="shared" si="39"/>
        <v>0</v>
      </c>
      <c r="BN54" s="32">
        <f t="shared" si="40"/>
        <v>0</v>
      </c>
      <c r="BO54" s="4">
        <f t="shared" si="41"/>
        <v>0</v>
      </c>
      <c r="BP54" s="32">
        <f t="shared" si="42"/>
        <v>0</v>
      </c>
      <c r="BQ54" s="32">
        <f t="shared" si="43"/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</row>
    <row r="55" spans="1:121" x14ac:dyDescent="0.35">
      <c r="A55" s="84">
        <f>'2017 Prop share of contribs'!A51</f>
        <v>46</v>
      </c>
      <c r="B55" s="84" t="str">
        <f>'2017 Prop share of contribs'!B51</f>
        <v xml:space="preserve">HANCOCK COUNTY SCHOOLS  </v>
      </c>
      <c r="C55" s="25" t="s">
        <v>166</v>
      </c>
      <c r="D55" s="33">
        <f>ROUND('Employer Allocations'!G94,8)</f>
        <v>0</v>
      </c>
      <c r="E55" s="4">
        <f>ROUND('Employer Allocations'!H94,8)</f>
        <v>2.4561499999999998E-3</v>
      </c>
      <c r="F55" s="4">
        <f>ROUND('Employer Allocations'!I94,8)</f>
        <v>2.4561499999999998E-3</v>
      </c>
      <c r="G55" s="4">
        <v>0</v>
      </c>
      <c r="H55" s="4">
        <v>2.4433800000000002E-3</v>
      </c>
      <c r="I55" s="4">
        <v>2.4433800000000002E-3</v>
      </c>
      <c r="J55" s="7">
        <f t="shared" si="5"/>
        <v>0</v>
      </c>
      <c r="K55" s="7">
        <f t="shared" si="6"/>
        <v>66273667</v>
      </c>
      <c r="L55" s="7">
        <f t="shared" si="16"/>
        <v>66273667</v>
      </c>
      <c r="M55" s="7"/>
      <c r="N55" s="7">
        <f t="shared" si="7"/>
        <v>0</v>
      </c>
      <c r="O55" s="32">
        <f t="shared" si="8"/>
        <v>0</v>
      </c>
      <c r="P55" s="32"/>
      <c r="Q55" s="32">
        <f t="shared" si="9"/>
        <v>4717669</v>
      </c>
      <c r="R55" s="32">
        <f t="shared" si="17"/>
        <v>4717669</v>
      </c>
      <c r="S55" s="32">
        <f t="shared" si="18"/>
        <v>0</v>
      </c>
      <c r="T55" s="32">
        <f t="shared" si="10"/>
        <v>0</v>
      </c>
      <c r="U55" s="32">
        <f t="shared" si="47"/>
        <v>0</v>
      </c>
      <c r="V55" s="32">
        <f t="shared" si="47"/>
        <v>0</v>
      </c>
      <c r="W55" s="32">
        <f t="shared" si="47"/>
        <v>0</v>
      </c>
      <c r="X55" s="32">
        <f t="shared" si="19"/>
        <v>0</v>
      </c>
      <c r="Y55" s="32"/>
      <c r="Z55" s="32">
        <f t="shared" si="47"/>
        <v>0</v>
      </c>
      <c r="AA55" s="32">
        <f t="shared" si="47"/>
        <v>0</v>
      </c>
      <c r="AB55" s="32">
        <f t="shared" si="47"/>
        <v>0</v>
      </c>
      <c r="AC55" s="32">
        <f t="shared" si="20"/>
        <v>0</v>
      </c>
      <c r="AD55" s="32"/>
      <c r="AE55" s="32">
        <f t="shared" si="47"/>
        <v>0</v>
      </c>
      <c r="AF55" s="32">
        <f t="shared" si="47"/>
        <v>0</v>
      </c>
      <c r="AG55" s="32">
        <f t="shared" si="47"/>
        <v>0</v>
      </c>
      <c r="AH55" s="32">
        <f t="shared" si="47"/>
        <v>0</v>
      </c>
      <c r="AI55" s="32">
        <f t="shared" si="47"/>
        <v>0</v>
      </c>
      <c r="AJ55" s="32">
        <f t="shared" si="46"/>
        <v>0</v>
      </c>
      <c r="AK55" s="7">
        <v>0</v>
      </c>
      <c r="AL55" s="32">
        <v>0</v>
      </c>
      <c r="AM55" s="32"/>
      <c r="AN55" s="4">
        <v>0</v>
      </c>
      <c r="AO55" s="32">
        <f t="shared" si="21"/>
        <v>0</v>
      </c>
      <c r="AP55" s="32">
        <f t="shared" si="22"/>
        <v>0</v>
      </c>
      <c r="AS55" s="32">
        <f t="shared" si="23"/>
        <v>0</v>
      </c>
      <c r="AT55" s="32">
        <f t="shared" si="13"/>
        <v>0</v>
      </c>
      <c r="AU55" s="32">
        <f t="shared" si="24"/>
        <v>0</v>
      </c>
      <c r="AV55" s="4">
        <f t="shared" si="25"/>
        <v>0</v>
      </c>
      <c r="AW55" s="32">
        <f t="shared" si="26"/>
        <v>0</v>
      </c>
      <c r="AX55" s="4">
        <f t="shared" si="27"/>
        <v>0</v>
      </c>
      <c r="AY55" s="32">
        <f t="shared" si="28"/>
        <v>0</v>
      </c>
      <c r="AZ55" s="4">
        <f t="shared" si="29"/>
        <v>0</v>
      </c>
      <c r="BA55" s="32">
        <f t="shared" si="30"/>
        <v>0</v>
      </c>
      <c r="BB55" s="32">
        <f t="shared" si="14"/>
        <v>0</v>
      </c>
      <c r="BC55" s="32">
        <f t="shared" si="31"/>
        <v>0</v>
      </c>
      <c r="BD55" s="32">
        <f t="shared" si="32"/>
        <v>0</v>
      </c>
      <c r="BF55" s="32">
        <f t="shared" si="33"/>
        <v>0</v>
      </c>
      <c r="BG55" s="32">
        <f t="shared" si="15"/>
        <v>0</v>
      </c>
      <c r="BH55" s="32">
        <f t="shared" si="34"/>
        <v>0</v>
      </c>
      <c r="BI55" s="4">
        <f t="shared" si="35"/>
        <v>0</v>
      </c>
      <c r="BJ55" s="32">
        <f t="shared" si="36"/>
        <v>0</v>
      </c>
      <c r="BK55" s="4">
        <f t="shared" si="37"/>
        <v>0</v>
      </c>
      <c r="BL55" s="32">
        <f t="shared" si="38"/>
        <v>0</v>
      </c>
      <c r="BM55" s="4">
        <f t="shared" si="39"/>
        <v>0</v>
      </c>
      <c r="BN55" s="32">
        <f t="shared" si="40"/>
        <v>0</v>
      </c>
      <c r="BO55" s="4">
        <f t="shared" si="41"/>
        <v>0</v>
      </c>
      <c r="BP55" s="32">
        <f t="shared" si="42"/>
        <v>0</v>
      </c>
      <c r="BQ55" s="32">
        <f t="shared" si="43"/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</row>
    <row r="56" spans="1:121" x14ac:dyDescent="0.35">
      <c r="A56" s="84">
        <f>'2017 Prop share of contribs'!A52</f>
        <v>47</v>
      </c>
      <c r="B56" s="84" t="str">
        <f>'2017 Prop share of contribs'!B52</f>
        <v xml:space="preserve">HARDIN COUNTY SCHOOLS  </v>
      </c>
      <c r="C56" s="25" t="s">
        <v>167</v>
      </c>
      <c r="D56" s="33">
        <f>ROUND('Employer Allocations'!G95,8)</f>
        <v>0</v>
      </c>
      <c r="E56" s="4">
        <f>ROUND('Employer Allocations'!H95,8)</f>
        <v>2.0059509999999999E-2</v>
      </c>
      <c r="F56" s="4">
        <f>ROUND('Employer Allocations'!I95,8)</f>
        <v>2.0059509999999999E-2</v>
      </c>
      <c r="G56" s="4">
        <v>0</v>
      </c>
      <c r="H56" s="4">
        <v>2.0027030000000001E-2</v>
      </c>
      <c r="I56" s="4">
        <v>2.0027030000000001E-2</v>
      </c>
      <c r="J56" s="7">
        <f t="shared" si="5"/>
        <v>0</v>
      </c>
      <c r="K56" s="7">
        <f t="shared" si="6"/>
        <v>541260627</v>
      </c>
      <c r="L56" s="7">
        <f t="shared" si="16"/>
        <v>541260627</v>
      </c>
      <c r="M56" s="7"/>
      <c r="N56" s="7">
        <f t="shared" si="7"/>
        <v>0</v>
      </c>
      <c r="O56" s="32">
        <f t="shared" si="8"/>
        <v>0</v>
      </c>
      <c r="P56" s="32"/>
      <c r="Q56" s="32">
        <f t="shared" si="9"/>
        <v>38529457</v>
      </c>
      <c r="R56" s="32">
        <f t="shared" si="17"/>
        <v>38529457</v>
      </c>
      <c r="S56" s="32">
        <f t="shared" si="18"/>
        <v>0</v>
      </c>
      <c r="T56" s="32">
        <f t="shared" si="10"/>
        <v>0</v>
      </c>
      <c r="U56" s="32">
        <f t="shared" si="47"/>
        <v>0</v>
      </c>
      <c r="V56" s="32">
        <f t="shared" si="47"/>
        <v>0</v>
      </c>
      <c r="W56" s="32">
        <f t="shared" si="47"/>
        <v>0</v>
      </c>
      <c r="X56" s="32">
        <f t="shared" si="19"/>
        <v>0</v>
      </c>
      <c r="Y56" s="32"/>
      <c r="Z56" s="32">
        <f t="shared" si="47"/>
        <v>0</v>
      </c>
      <c r="AA56" s="32">
        <f t="shared" si="47"/>
        <v>0</v>
      </c>
      <c r="AB56" s="32">
        <f t="shared" si="47"/>
        <v>0</v>
      </c>
      <c r="AC56" s="32">
        <f t="shared" si="20"/>
        <v>0</v>
      </c>
      <c r="AD56" s="32"/>
      <c r="AE56" s="32">
        <f t="shared" si="47"/>
        <v>0</v>
      </c>
      <c r="AF56" s="32">
        <f t="shared" si="47"/>
        <v>0</v>
      </c>
      <c r="AG56" s="32">
        <f t="shared" si="47"/>
        <v>0</v>
      </c>
      <c r="AH56" s="32">
        <f t="shared" si="47"/>
        <v>0</v>
      </c>
      <c r="AI56" s="32">
        <f t="shared" si="47"/>
        <v>0</v>
      </c>
      <c r="AJ56" s="32">
        <f t="shared" si="47"/>
        <v>0</v>
      </c>
      <c r="AK56" s="7">
        <v>0</v>
      </c>
      <c r="AL56" s="32">
        <v>0</v>
      </c>
      <c r="AM56" s="32"/>
      <c r="AN56" s="4">
        <v>0</v>
      </c>
      <c r="AO56" s="32">
        <f t="shared" si="21"/>
        <v>0</v>
      </c>
      <c r="AP56" s="32">
        <f t="shared" si="22"/>
        <v>0</v>
      </c>
      <c r="AS56" s="32">
        <f t="shared" si="23"/>
        <v>0</v>
      </c>
      <c r="AT56" s="32">
        <f t="shared" si="13"/>
        <v>0</v>
      </c>
      <c r="AU56" s="32">
        <f t="shared" si="24"/>
        <v>0</v>
      </c>
      <c r="AV56" s="4">
        <f t="shared" si="25"/>
        <v>0</v>
      </c>
      <c r="AW56" s="32">
        <f t="shared" si="26"/>
        <v>0</v>
      </c>
      <c r="AX56" s="4">
        <f t="shared" si="27"/>
        <v>0</v>
      </c>
      <c r="AY56" s="32">
        <f t="shared" si="28"/>
        <v>0</v>
      </c>
      <c r="AZ56" s="4">
        <f t="shared" si="29"/>
        <v>0</v>
      </c>
      <c r="BA56" s="32">
        <f t="shared" si="30"/>
        <v>0</v>
      </c>
      <c r="BB56" s="32">
        <f t="shared" si="14"/>
        <v>0</v>
      </c>
      <c r="BC56" s="32">
        <f t="shared" si="31"/>
        <v>0</v>
      </c>
      <c r="BD56" s="32">
        <f t="shared" si="32"/>
        <v>0</v>
      </c>
      <c r="BF56" s="32">
        <f t="shared" si="33"/>
        <v>0</v>
      </c>
      <c r="BG56" s="32">
        <f t="shared" si="15"/>
        <v>0</v>
      </c>
      <c r="BH56" s="32">
        <f t="shared" si="34"/>
        <v>0</v>
      </c>
      <c r="BI56" s="4">
        <f t="shared" si="35"/>
        <v>0</v>
      </c>
      <c r="BJ56" s="32">
        <f t="shared" si="36"/>
        <v>0</v>
      </c>
      <c r="BK56" s="4">
        <f t="shared" si="37"/>
        <v>0</v>
      </c>
      <c r="BL56" s="32">
        <f t="shared" si="38"/>
        <v>0</v>
      </c>
      <c r="BM56" s="4">
        <f t="shared" si="39"/>
        <v>0</v>
      </c>
      <c r="BN56" s="32">
        <f t="shared" si="40"/>
        <v>0</v>
      </c>
      <c r="BO56" s="4">
        <f t="shared" si="41"/>
        <v>0</v>
      </c>
      <c r="BP56" s="32">
        <f t="shared" si="42"/>
        <v>0</v>
      </c>
      <c r="BQ56" s="32">
        <f t="shared" si="43"/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  <c r="DO56" s="4">
        <v>0</v>
      </c>
      <c r="DP56" s="4">
        <v>0</v>
      </c>
      <c r="DQ56" s="4">
        <v>0</v>
      </c>
    </row>
    <row r="57" spans="1:121" x14ac:dyDescent="0.35">
      <c r="A57" s="84">
        <f>'2017 Prop share of contribs'!A53</f>
        <v>48</v>
      </c>
      <c r="B57" s="84" t="str">
        <f>'2017 Prop share of contribs'!B53</f>
        <v xml:space="preserve">HARLAN COUNTY SCHOOLS  </v>
      </c>
      <c r="C57" s="25" t="s">
        <v>168</v>
      </c>
      <c r="D57" s="33">
        <f>ROUND('Employer Allocations'!G96,8)</f>
        <v>0</v>
      </c>
      <c r="E57" s="4">
        <f>ROUND('Employer Allocations'!H96,8)</f>
        <v>4.5782899999999996E-3</v>
      </c>
      <c r="F57" s="4">
        <f>ROUND('Employer Allocations'!I96,8)</f>
        <v>4.5782899999999996E-3</v>
      </c>
      <c r="G57" s="4">
        <v>0</v>
      </c>
      <c r="H57" s="4">
        <v>4.5418300000000002E-3</v>
      </c>
      <c r="I57" s="4">
        <v>4.5418300000000002E-3</v>
      </c>
      <c r="J57" s="7">
        <f t="shared" si="5"/>
        <v>0</v>
      </c>
      <c r="K57" s="7">
        <f t="shared" si="6"/>
        <v>123534828</v>
      </c>
      <c r="L57" s="7">
        <f t="shared" si="16"/>
        <v>123534828</v>
      </c>
      <c r="M57" s="7"/>
      <c r="N57" s="7">
        <f t="shared" si="7"/>
        <v>0</v>
      </c>
      <c r="O57" s="32">
        <f t="shared" si="8"/>
        <v>0</v>
      </c>
      <c r="P57" s="32"/>
      <c r="Q57" s="32">
        <f t="shared" si="9"/>
        <v>8793786</v>
      </c>
      <c r="R57" s="32">
        <f t="shared" si="17"/>
        <v>8793786</v>
      </c>
      <c r="S57" s="32">
        <f t="shared" si="18"/>
        <v>0</v>
      </c>
      <c r="T57" s="32">
        <f t="shared" si="10"/>
        <v>0</v>
      </c>
      <c r="U57" s="32">
        <f t="shared" si="47"/>
        <v>0</v>
      </c>
      <c r="V57" s="32">
        <f t="shared" si="47"/>
        <v>0</v>
      </c>
      <c r="W57" s="32">
        <f t="shared" si="47"/>
        <v>0</v>
      </c>
      <c r="X57" s="32">
        <f t="shared" si="19"/>
        <v>0</v>
      </c>
      <c r="Y57" s="32"/>
      <c r="Z57" s="32">
        <f t="shared" si="47"/>
        <v>0</v>
      </c>
      <c r="AA57" s="32">
        <f t="shared" si="47"/>
        <v>0</v>
      </c>
      <c r="AB57" s="32">
        <f t="shared" si="47"/>
        <v>0</v>
      </c>
      <c r="AC57" s="32">
        <f t="shared" si="20"/>
        <v>0</v>
      </c>
      <c r="AD57" s="32"/>
      <c r="AE57" s="32">
        <f t="shared" si="47"/>
        <v>0</v>
      </c>
      <c r="AF57" s="32">
        <f t="shared" si="47"/>
        <v>0</v>
      </c>
      <c r="AG57" s="32">
        <f t="shared" si="47"/>
        <v>0</v>
      </c>
      <c r="AH57" s="32">
        <f t="shared" si="47"/>
        <v>0</v>
      </c>
      <c r="AI57" s="32">
        <f t="shared" si="47"/>
        <v>0</v>
      </c>
      <c r="AJ57" s="32">
        <f t="shared" si="47"/>
        <v>0</v>
      </c>
      <c r="AK57" s="7">
        <v>0</v>
      </c>
      <c r="AL57" s="32">
        <v>0</v>
      </c>
      <c r="AM57" s="32"/>
      <c r="AN57" s="4">
        <v>0</v>
      </c>
      <c r="AO57" s="32">
        <f t="shared" si="21"/>
        <v>0</v>
      </c>
      <c r="AP57" s="32">
        <f t="shared" si="22"/>
        <v>0</v>
      </c>
      <c r="AS57" s="32">
        <f t="shared" si="23"/>
        <v>0</v>
      </c>
      <c r="AT57" s="32">
        <f t="shared" si="13"/>
        <v>0</v>
      </c>
      <c r="AU57" s="32">
        <f t="shared" si="24"/>
        <v>0</v>
      </c>
      <c r="AV57" s="4">
        <f t="shared" si="25"/>
        <v>0</v>
      </c>
      <c r="AW57" s="32">
        <f t="shared" si="26"/>
        <v>0</v>
      </c>
      <c r="AX57" s="4">
        <f t="shared" si="27"/>
        <v>0</v>
      </c>
      <c r="AY57" s="32">
        <f t="shared" si="28"/>
        <v>0</v>
      </c>
      <c r="AZ57" s="4">
        <f t="shared" si="29"/>
        <v>0</v>
      </c>
      <c r="BA57" s="32">
        <f t="shared" si="30"/>
        <v>0</v>
      </c>
      <c r="BB57" s="32">
        <f t="shared" si="14"/>
        <v>0</v>
      </c>
      <c r="BC57" s="32">
        <f t="shared" si="31"/>
        <v>0</v>
      </c>
      <c r="BD57" s="32">
        <f t="shared" si="32"/>
        <v>0</v>
      </c>
      <c r="BF57" s="32">
        <f t="shared" si="33"/>
        <v>0</v>
      </c>
      <c r="BG57" s="32">
        <f t="shared" si="15"/>
        <v>0</v>
      </c>
      <c r="BH57" s="32">
        <f t="shared" si="34"/>
        <v>0</v>
      </c>
      <c r="BI57" s="4">
        <f t="shared" si="35"/>
        <v>0</v>
      </c>
      <c r="BJ57" s="32">
        <f t="shared" si="36"/>
        <v>0</v>
      </c>
      <c r="BK57" s="4">
        <f t="shared" si="37"/>
        <v>0</v>
      </c>
      <c r="BL57" s="32">
        <f t="shared" si="38"/>
        <v>0</v>
      </c>
      <c r="BM57" s="4">
        <f t="shared" si="39"/>
        <v>0</v>
      </c>
      <c r="BN57" s="32">
        <f t="shared" si="40"/>
        <v>0</v>
      </c>
      <c r="BO57" s="4">
        <f t="shared" si="41"/>
        <v>0</v>
      </c>
      <c r="BP57" s="32">
        <f t="shared" si="42"/>
        <v>0</v>
      </c>
      <c r="BQ57" s="32">
        <f t="shared" si="43"/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O57" s="4">
        <v>0</v>
      </c>
      <c r="DP57" s="4">
        <v>0</v>
      </c>
      <c r="DQ57" s="4">
        <v>0</v>
      </c>
    </row>
    <row r="58" spans="1:121" x14ac:dyDescent="0.35">
      <c r="A58" s="84">
        <f>'2017 Prop share of contribs'!A54</f>
        <v>49</v>
      </c>
      <c r="B58" s="84" t="str">
        <f>'2017 Prop share of contribs'!B54</f>
        <v xml:space="preserve">HARRISON COUNTY SCHOOLS  </v>
      </c>
      <c r="C58" s="25" t="s">
        <v>169</v>
      </c>
      <c r="D58" s="33">
        <f>ROUND('Employer Allocations'!G97,8)</f>
        <v>0</v>
      </c>
      <c r="E58" s="4">
        <f>ROUND('Employer Allocations'!H97,8)</f>
        <v>3.68498E-3</v>
      </c>
      <c r="F58" s="4">
        <f>ROUND('Employer Allocations'!I97,8)</f>
        <v>3.68498E-3</v>
      </c>
      <c r="G58" s="4">
        <v>0</v>
      </c>
      <c r="H58" s="4">
        <v>3.6827700000000001E-3</v>
      </c>
      <c r="I58" s="4">
        <v>3.6827700000000001E-3</v>
      </c>
      <c r="J58" s="7">
        <f t="shared" si="5"/>
        <v>0</v>
      </c>
      <c r="K58" s="7">
        <f t="shared" si="6"/>
        <v>99430873</v>
      </c>
      <c r="L58" s="7">
        <f t="shared" si="16"/>
        <v>99430873</v>
      </c>
      <c r="M58" s="7"/>
      <c r="N58" s="7">
        <f t="shared" si="7"/>
        <v>0</v>
      </c>
      <c r="O58" s="32">
        <f t="shared" si="8"/>
        <v>0</v>
      </c>
      <c r="P58" s="32"/>
      <c r="Q58" s="32">
        <f t="shared" si="9"/>
        <v>7077954</v>
      </c>
      <c r="R58" s="32">
        <f t="shared" si="17"/>
        <v>7077954</v>
      </c>
      <c r="S58" s="32">
        <f t="shared" si="18"/>
        <v>0</v>
      </c>
      <c r="T58" s="32">
        <f t="shared" si="10"/>
        <v>0</v>
      </c>
      <c r="U58" s="32">
        <f t="shared" si="47"/>
        <v>0</v>
      </c>
      <c r="V58" s="32">
        <f t="shared" si="47"/>
        <v>0</v>
      </c>
      <c r="W58" s="32">
        <f t="shared" si="47"/>
        <v>0</v>
      </c>
      <c r="X58" s="32">
        <f t="shared" si="19"/>
        <v>0</v>
      </c>
      <c r="Y58" s="32"/>
      <c r="Z58" s="32">
        <f t="shared" si="47"/>
        <v>0</v>
      </c>
      <c r="AA58" s="32">
        <f t="shared" si="47"/>
        <v>0</v>
      </c>
      <c r="AB58" s="32">
        <f t="shared" si="47"/>
        <v>0</v>
      </c>
      <c r="AC58" s="32">
        <f t="shared" si="20"/>
        <v>0</v>
      </c>
      <c r="AD58" s="32"/>
      <c r="AE58" s="32">
        <f t="shared" si="47"/>
        <v>0</v>
      </c>
      <c r="AF58" s="32">
        <f t="shared" si="47"/>
        <v>0</v>
      </c>
      <c r="AG58" s="32">
        <f t="shared" si="47"/>
        <v>0</v>
      </c>
      <c r="AH58" s="32">
        <f t="shared" si="47"/>
        <v>0</v>
      </c>
      <c r="AI58" s="32">
        <f t="shared" si="47"/>
        <v>0</v>
      </c>
      <c r="AJ58" s="32">
        <f t="shared" si="47"/>
        <v>0</v>
      </c>
      <c r="AK58" s="7">
        <v>0</v>
      </c>
      <c r="AL58" s="32">
        <v>0</v>
      </c>
      <c r="AM58" s="32"/>
      <c r="AN58" s="4">
        <v>0</v>
      </c>
      <c r="AO58" s="32">
        <f t="shared" si="21"/>
        <v>0</v>
      </c>
      <c r="AP58" s="32">
        <f t="shared" si="22"/>
        <v>0</v>
      </c>
      <c r="AS58" s="32">
        <f t="shared" si="23"/>
        <v>0</v>
      </c>
      <c r="AT58" s="32">
        <f t="shared" si="13"/>
        <v>0</v>
      </c>
      <c r="AU58" s="32">
        <f t="shared" si="24"/>
        <v>0</v>
      </c>
      <c r="AV58" s="4">
        <f t="shared" si="25"/>
        <v>0</v>
      </c>
      <c r="AW58" s="32">
        <f t="shared" si="26"/>
        <v>0</v>
      </c>
      <c r="AX58" s="4">
        <f t="shared" si="27"/>
        <v>0</v>
      </c>
      <c r="AY58" s="32">
        <f t="shared" si="28"/>
        <v>0</v>
      </c>
      <c r="AZ58" s="4">
        <f t="shared" si="29"/>
        <v>0</v>
      </c>
      <c r="BA58" s="32">
        <f t="shared" si="30"/>
        <v>0</v>
      </c>
      <c r="BB58" s="32">
        <f t="shared" si="14"/>
        <v>0</v>
      </c>
      <c r="BC58" s="32">
        <f t="shared" si="31"/>
        <v>0</v>
      </c>
      <c r="BD58" s="32">
        <f t="shared" si="32"/>
        <v>0</v>
      </c>
      <c r="BF58" s="32">
        <f t="shared" si="33"/>
        <v>0</v>
      </c>
      <c r="BG58" s="32">
        <f t="shared" si="15"/>
        <v>0</v>
      </c>
      <c r="BH58" s="32">
        <f t="shared" si="34"/>
        <v>0</v>
      </c>
      <c r="BI58" s="4">
        <f t="shared" si="35"/>
        <v>0</v>
      </c>
      <c r="BJ58" s="32">
        <f t="shared" si="36"/>
        <v>0</v>
      </c>
      <c r="BK58" s="4">
        <f t="shared" si="37"/>
        <v>0</v>
      </c>
      <c r="BL58" s="32">
        <f t="shared" si="38"/>
        <v>0</v>
      </c>
      <c r="BM58" s="4">
        <f t="shared" si="39"/>
        <v>0</v>
      </c>
      <c r="BN58" s="32">
        <f t="shared" si="40"/>
        <v>0</v>
      </c>
      <c r="BO58" s="4">
        <f t="shared" si="41"/>
        <v>0</v>
      </c>
      <c r="BP58" s="32">
        <f t="shared" si="42"/>
        <v>0</v>
      </c>
      <c r="BQ58" s="32">
        <f t="shared" si="43"/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</row>
    <row r="59" spans="1:121" x14ac:dyDescent="0.35">
      <c r="A59" s="84">
        <f>'2017 Prop share of contribs'!A55</f>
        <v>50</v>
      </c>
      <c r="B59" s="84" t="str">
        <f>'2017 Prop share of contribs'!B55</f>
        <v xml:space="preserve">HART COUNTY SCHOOLS  </v>
      </c>
      <c r="C59" s="25" t="s">
        <v>170</v>
      </c>
      <c r="D59" s="33">
        <f>ROUND('Employer Allocations'!G98,8)</f>
        <v>0</v>
      </c>
      <c r="E59" s="4">
        <f>ROUND('Employer Allocations'!H98,8)</f>
        <v>3.5638499999999999E-3</v>
      </c>
      <c r="F59" s="4">
        <f>ROUND('Employer Allocations'!I98,8)</f>
        <v>3.5638499999999999E-3</v>
      </c>
      <c r="G59" s="4">
        <v>0</v>
      </c>
      <c r="H59" s="4">
        <v>3.5461899999999998E-3</v>
      </c>
      <c r="I59" s="4">
        <v>3.5461899999999998E-3</v>
      </c>
      <c r="J59" s="7">
        <f t="shared" si="5"/>
        <v>0</v>
      </c>
      <c r="K59" s="7">
        <f t="shared" si="6"/>
        <v>96162453</v>
      </c>
      <c r="L59" s="7">
        <f t="shared" si="16"/>
        <v>96162453</v>
      </c>
      <c r="M59" s="7"/>
      <c r="N59" s="7">
        <f t="shared" si="7"/>
        <v>0</v>
      </c>
      <c r="O59" s="32">
        <f t="shared" si="8"/>
        <v>0</v>
      </c>
      <c r="P59" s="32"/>
      <c r="Q59" s="32">
        <f t="shared" si="9"/>
        <v>6845292</v>
      </c>
      <c r="R59" s="32">
        <f t="shared" si="17"/>
        <v>6845292</v>
      </c>
      <c r="S59" s="32">
        <f t="shared" si="18"/>
        <v>0</v>
      </c>
      <c r="T59" s="32">
        <f t="shared" si="10"/>
        <v>0</v>
      </c>
      <c r="U59" s="32">
        <f t="shared" si="47"/>
        <v>0</v>
      </c>
      <c r="V59" s="32">
        <f t="shared" si="47"/>
        <v>0</v>
      </c>
      <c r="W59" s="32">
        <f t="shared" si="47"/>
        <v>0</v>
      </c>
      <c r="X59" s="32">
        <f t="shared" si="19"/>
        <v>0</v>
      </c>
      <c r="Y59" s="32"/>
      <c r="Z59" s="32">
        <f t="shared" si="47"/>
        <v>0</v>
      </c>
      <c r="AA59" s="32">
        <f t="shared" si="47"/>
        <v>0</v>
      </c>
      <c r="AB59" s="32">
        <f t="shared" si="47"/>
        <v>0</v>
      </c>
      <c r="AC59" s="32">
        <f t="shared" si="20"/>
        <v>0</v>
      </c>
      <c r="AD59" s="32"/>
      <c r="AE59" s="32">
        <f t="shared" si="47"/>
        <v>0</v>
      </c>
      <c r="AF59" s="32">
        <f t="shared" si="47"/>
        <v>0</v>
      </c>
      <c r="AG59" s="32">
        <f t="shared" si="47"/>
        <v>0</v>
      </c>
      <c r="AH59" s="32">
        <f t="shared" si="47"/>
        <v>0</v>
      </c>
      <c r="AI59" s="32">
        <f t="shared" si="47"/>
        <v>0</v>
      </c>
      <c r="AJ59" s="32">
        <f t="shared" si="47"/>
        <v>0</v>
      </c>
      <c r="AK59" s="7">
        <v>0</v>
      </c>
      <c r="AL59" s="32">
        <v>0</v>
      </c>
      <c r="AM59" s="32"/>
      <c r="AN59" s="4">
        <v>0</v>
      </c>
      <c r="AO59" s="32">
        <f t="shared" si="21"/>
        <v>0</v>
      </c>
      <c r="AP59" s="32">
        <f t="shared" si="22"/>
        <v>0</v>
      </c>
      <c r="AS59" s="32">
        <f t="shared" si="23"/>
        <v>0</v>
      </c>
      <c r="AT59" s="32">
        <f t="shared" si="13"/>
        <v>0</v>
      </c>
      <c r="AU59" s="32">
        <f t="shared" si="24"/>
        <v>0</v>
      </c>
      <c r="AV59" s="4">
        <f t="shared" si="25"/>
        <v>0</v>
      </c>
      <c r="AW59" s="32">
        <f t="shared" si="26"/>
        <v>0</v>
      </c>
      <c r="AX59" s="4">
        <f t="shared" si="27"/>
        <v>0</v>
      </c>
      <c r="AY59" s="32">
        <f t="shared" si="28"/>
        <v>0</v>
      </c>
      <c r="AZ59" s="4">
        <f t="shared" si="29"/>
        <v>0</v>
      </c>
      <c r="BA59" s="32">
        <f t="shared" si="30"/>
        <v>0</v>
      </c>
      <c r="BB59" s="32">
        <f t="shared" si="14"/>
        <v>0</v>
      </c>
      <c r="BC59" s="32">
        <f t="shared" si="31"/>
        <v>0</v>
      </c>
      <c r="BD59" s="32">
        <f t="shared" si="32"/>
        <v>0</v>
      </c>
      <c r="BF59" s="32">
        <f t="shared" si="33"/>
        <v>0</v>
      </c>
      <c r="BG59" s="32">
        <f t="shared" si="15"/>
        <v>0</v>
      </c>
      <c r="BH59" s="32">
        <f t="shared" si="34"/>
        <v>0</v>
      </c>
      <c r="BI59" s="4">
        <f t="shared" si="35"/>
        <v>0</v>
      </c>
      <c r="BJ59" s="32">
        <f t="shared" si="36"/>
        <v>0</v>
      </c>
      <c r="BK59" s="4">
        <f t="shared" si="37"/>
        <v>0</v>
      </c>
      <c r="BL59" s="32">
        <f t="shared" si="38"/>
        <v>0</v>
      </c>
      <c r="BM59" s="4">
        <f t="shared" si="39"/>
        <v>0</v>
      </c>
      <c r="BN59" s="32">
        <f t="shared" si="40"/>
        <v>0</v>
      </c>
      <c r="BO59" s="4">
        <f t="shared" si="41"/>
        <v>0</v>
      </c>
      <c r="BP59" s="32">
        <f t="shared" si="42"/>
        <v>0</v>
      </c>
      <c r="BQ59" s="32">
        <f t="shared" si="43"/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  <c r="DO59" s="4">
        <v>0</v>
      </c>
      <c r="DP59" s="4">
        <v>0</v>
      </c>
      <c r="DQ59" s="4">
        <v>0</v>
      </c>
    </row>
    <row r="60" spans="1:121" x14ac:dyDescent="0.35">
      <c r="A60" s="84">
        <f>'2017 Prop share of contribs'!A56</f>
        <v>51</v>
      </c>
      <c r="B60" s="84" t="str">
        <f>'2017 Prop share of contribs'!B56</f>
        <v xml:space="preserve">HENDERSON COUNTY SCHOOLS  </v>
      </c>
      <c r="C60" s="25" t="s">
        <v>171</v>
      </c>
      <c r="D60" s="33">
        <f>ROUND('Employer Allocations'!G99,8)</f>
        <v>0</v>
      </c>
      <c r="E60" s="4">
        <f>ROUND('Employer Allocations'!H99,8)</f>
        <v>9.55488E-3</v>
      </c>
      <c r="F60" s="4">
        <f>ROUND('Employer Allocations'!I99,8)</f>
        <v>9.55488E-3</v>
      </c>
      <c r="G60" s="4">
        <v>0</v>
      </c>
      <c r="H60" s="4">
        <v>1.023103E-2</v>
      </c>
      <c r="I60" s="4">
        <v>1.023103E-2</v>
      </c>
      <c r="J60" s="7">
        <f t="shared" si="5"/>
        <v>0</v>
      </c>
      <c r="K60" s="7">
        <f t="shared" si="6"/>
        <v>257816883</v>
      </c>
      <c r="L60" s="7">
        <f t="shared" si="16"/>
        <v>257816883</v>
      </c>
      <c r="M60" s="7"/>
      <c r="N60" s="7">
        <f t="shared" si="7"/>
        <v>0</v>
      </c>
      <c r="O60" s="32">
        <f t="shared" si="8"/>
        <v>0</v>
      </c>
      <c r="P60" s="32"/>
      <c r="Q60" s="32">
        <f t="shared" si="9"/>
        <v>18352609</v>
      </c>
      <c r="R60" s="32">
        <f t="shared" si="17"/>
        <v>18352609</v>
      </c>
      <c r="S60" s="32">
        <f t="shared" si="18"/>
        <v>0</v>
      </c>
      <c r="T60" s="32">
        <f t="shared" si="10"/>
        <v>0</v>
      </c>
      <c r="U60" s="32">
        <f t="shared" ref="U60:AJ75" si="48">ROUND(U$2*$D60,0)</f>
        <v>0</v>
      </c>
      <c r="V60" s="32">
        <f t="shared" si="48"/>
        <v>0</v>
      </c>
      <c r="W60" s="32">
        <f t="shared" si="48"/>
        <v>0</v>
      </c>
      <c r="X60" s="32">
        <f t="shared" si="19"/>
        <v>0</v>
      </c>
      <c r="Y60" s="32"/>
      <c r="Z60" s="32">
        <f t="shared" si="48"/>
        <v>0</v>
      </c>
      <c r="AA60" s="32">
        <f t="shared" si="48"/>
        <v>0</v>
      </c>
      <c r="AB60" s="32">
        <f t="shared" si="48"/>
        <v>0</v>
      </c>
      <c r="AC60" s="32">
        <f t="shared" si="20"/>
        <v>0</v>
      </c>
      <c r="AD60" s="32"/>
      <c r="AE60" s="32">
        <f t="shared" si="48"/>
        <v>0</v>
      </c>
      <c r="AF60" s="32">
        <f t="shared" si="48"/>
        <v>0</v>
      </c>
      <c r="AG60" s="32">
        <f t="shared" si="48"/>
        <v>0</v>
      </c>
      <c r="AH60" s="32">
        <f t="shared" si="48"/>
        <v>0</v>
      </c>
      <c r="AI60" s="32">
        <f t="shared" si="48"/>
        <v>0</v>
      </c>
      <c r="AJ60" s="32">
        <f t="shared" si="47"/>
        <v>0</v>
      </c>
      <c r="AK60" s="7">
        <v>0</v>
      </c>
      <c r="AL60" s="32">
        <v>0</v>
      </c>
      <c r="AM60" s="32"/>
      <c r="AN60" s="4">
        <v>0</v>
      </c>
      <c r="AO60" s="32">
        <f t="shared" si="21"/>
        <v>0</v>
      </c>
      <c r="AP60" s="32">
        <f t="shared" si="22"/>
        <v>0</v>
      </c>
      <c r="AS60" s="32">
        <f t="shared" si="23"/>
        <v>0</v>
      </c>
      <c r="AT60" s="32">
        <f t="shared" si="13"/>
        <v>0</v>
      </c>
      <c r="AU60" s="32">
        <f t="shared" si="24"/>
        <v>0</v>
      </c>
      <c r="AV60" s="4">
        <f t="shared" si="25"/>
        <v>0</v>
      </c>
      <c r="AW60" s="32">
        <f t="shared" si="26"/>
        <v>0</v>
      </c>
      <c r="AX60" s="4">
        <f t="shared" si="27"/>
        <v>0</v>
      </c>
      <c r="AY60" s="32">
        <f t="shared" si="28"/>
        <v>0</v>
      </c>
      <c r="AZ60" s="4">
        <f t="shared" si="29"/>
        <v>0</v>
      </c>
      <c r="BA60" s="32">
        <f t="shared" si="30"/>
        <v>0</v>
      </c>
      <c r="BB60" s="32">
        <f t="shared" si="14"/>
        <v>0</v>
      </c>
      <c r="BC60" s="32">
        <f t="shared" si="31"/>
        <v>0</v>
      </c>
      <c r="BD60" s="32">
        <f t="shared" si="32"/>
        <v>0</v>
      </c>
      <c r="BF60" s="32">
        <f t="shared" si="33"/>
        <v>0</v>
      </c>
      <c r="BG60" s="32">
        <f t="shared" si="15"/>
        <v>0</v>
      </c>
      <c r="BH60" s="32">
        <f t="shared" si="34"/>
        <v>0</v>
      </c>
      <c r="BI60" s="4">
        <f t="shared" si="35"/>
        <v>0</v>
      </c>
      <c r="BJ60" s="32">
        <f t="shared" si="36"/>
        <v>0</v>
      </c>
      <c r="BK60" s="4">
        <f t="shared" si="37"/>
        <v>0</v>
      </c>
      <c r="BL60" s="32">
        <f t="shared" si="38"/>
        <v>0</v>
      </c>
      <c r="BM60" s="4">
        <f t="shared" si="39"/>
        <v>0</v>
      </c>
      <c r="BN60" s="32">
        <f t="shared" si="40"/>
        <v>0</v>
      </c>
      <c r="BO60" s="4">
        <f t="shared" si="41"/>
        <v>0</v>
      </c>
      <c r="BP60" s="32">
        <f t="shared" si="42"/>
        <v>0</v>
      </c>
      <c r="BQ60" s="32">
        <f t="shared" si="43"/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  <c r="DO60" s="4">
        <v>0</v>
      </c>
      <c r="DP60" s="4">
        <v>0</v>
      </c>
      <c r="DQ60" s="4">
        <v>0</v>
      </c>
    </row>
    <row r="61" spans="1:121" x14ac:dyDescent="0.35">
      <c r="A61" s="84">
        <f>'2017 Prop share of contribs'!A57</f>
        <v>52</v>
      </c>
      <c r="B61" s="84" t="str">
        <f>'2017 Prop share of contribs'!B57</f>
        <v xml:space="preserve">HENRY COUNTY SCHOOLS  </v>
      </c>
      <c r="C61" s="25" t="s">
        <v>172</v>
      </c>
      <c r="D61" s="33">
        <f>ROUND('Employer Allocations'!G100,8)</f>
        <v>0</v>
      </c>
      <c r="E61" s="4">
        <f>ROUND('Employer Allocations'!H100,8)</f>
        <v>2.9178199999999998E-3</v>
      </c>
      <c r="F61" s="4">
        <f>ROUND('Employer Allocations'!I100,8)</f>
        <v>2.9178199999999998E-3</v>
      </c>
      <c r="G61" s="4">
        <v>0</v>
      </c>
      <c r="H61" s="4">
        <v>2.8926199999999998E-3</v>
      </c>
      <c r="I61" s="4">
        <v>2.8926199999999998E-3</v>
      </c>
      <c r="J61" s="7">
        <f t="shared" si="5"/>
        <v>0</v>
      </c>
      <c r="K61" s="7">
        <f t="shared" si="6"/>
        <v>78730791</v>
      </c>
      <c r="L61" s="7">
        <f t="shared" si="16"/>
        <v>78730791</v>
      </c>
      <c r="M61" s="7"/>
      <c r="N61" s="7">
        <f t="shared" si="7"/>
        <v>0</v>
      </c>
      <c r="O61" s="32">
        <f t="shared" si="8"/>
        <v>0</v>
      </c>
      <c r="P61" s="32"/>
      <c r="Q61" s="32">
        <f t="shared" si="9"/>
        <v>5604425</v>
      </c>
      <c r="R61" s="32">
        <f t="shared" si="17"/>
        <v>5604425</v>
      </c>
      <c r="S61" s="32">
        <f t="shared" si="18"/>
        <v>0</v>
      </c>
      <c r="T61" s="32">
        <f t="shared" si="10"/>
        <v>0</v>
      </c>
      <c r="U61" s="32">
        <f t="shared" si="48"/>
        <v>0</v>
      </c>
      <c r="V61" s="32">
        <f t="shared" si="48"/>
        <v>0</v>
      </c>
      <c r="W61" s="32">
        <f t="shared" si="48"/>
        <v>0</v>
      </c>
      <c r="X61" s="32">
        <f t="shared" si="19"/>
        <v>0</v>
      </c>
      <c r="Y61" s="32"/>
      <c r="Z61" s="32">
        <f t="shared" si="48"/>
        <v>0</v>
      </c>
      <c r="AA61" s="32">
        <f t="shared" si="48"/>
        <v>0</v>
      </c>
      <c r="AB61" s="32">
        <f t="shared" si="48"/>
        <v>0</v>
      </c>
      <c r="AC61" s="32">
        <f t="shared" si="20"/>
        <v>0</v>
      </c>
      <c r="AD61" s="32"/>
      <c r="AE61" s="32">
        <f t="shared" si="48"/>
        <v>0</v>
      </c>
      <c r="AF61" s="32">
        <f t="shared" si="48"/>
        <v>0</v>
      </c>
      <c r="AG61" s="32">
        <f t="shared" si="48"/>
        <v>0</v>
      </c>
      <c r="AH61" s="32">
        <f t="shared" si="48"/>
        <v>0</v>
      </c>
      <c r="AI61" s="32">
        <f t="shared" si="48"/>
        <v>0</v>
      </c>
      <c r="AJ61" s="32">
        <f t="shared" si="47"/>
        <v>0</v>
      </c>
      <c r="AK61" s="7">
        <v>0</v>
      </c>
      <c r="AL61" s="32">
        <v>0</v>
      </c>
      <c r="AM61" s="32"/>
      <c r="AN61" s="4">
        <v>0</v>
      </c>
      <c r="AO61" s="32">
        <f t="shared" si="21"/>
        <v>0</v>
      </c>
      <c r="AP61" s="32">
        <f t="shared" si="22"/>
        <v>0</v>
      </c>
      <c r="AS61" s="32">
        <f t="shared" si="23"/>
        <v>0</v>
      </c>
      <c r="AT61" s="32">
        <f t="shared" si="13"/>
        <v>0</v>
      </c>
      <c r="AU61" s="32">
        <f t="shared" si="24"/>
        <v>0</v>
      </c>
      <c r="AV61" s="4">
        <f t="shared" si="25"/>
        <v>0</v>
      </c>
      <c r="AW61" s="32">
        <f t="shared" si="26"/>
        <v>0</v>
      </c>
      <c r="AX61" s="4">
        <f t="shared" si="27"/>
        <v>0</v>
      </c>
      <c r="AY61" s="32">
        <f t="shared" si="28"/>
        <v>0</v>
      </c>
      <c r="AZ61" s="4">
        <f t="shared" si="29"/>
        <v>0</v>
      </c>
      <c r="BA61" s="32">
        <f t="shared" si="30"/>
        <v>0</v>
      </c>
      <c r="BB61" s="32">
        <f t="shared" si="14"/>
        <v>0</v>
      </c>
      <c r="BC61" s="32">
        <f t="shared" si="31"/>
        <v>0</v>
      </c>
      <c r="BD61" s="32">
        <f t="shared" si="32"/>
        <v>0</v>
      </c>
      <c r="BF61" s="32">
        <f t="shared" si="33"/>
        <v>0</v>
      </c>
      <c r="BG61" s="32">
        <f t="shared" si="15"/>
        <v>0</v>
      </c>
      <c r="BH61" s="32">
        <f t="shared" si="34"/>
        <v>0</v>
      </c>
      <c r="BI61" s="4">
        <f t="shared" si="35"/>
        <v>0</v>
      </c>
      <c r="BJ61" s="32">
        <f t="shared" si="36"/>
        <v>0</v>
      </c>
      <c r="BK61" s="4">
        <f t="shared" si="37"/>
        <v>0</v>
      </c>
      <c r="BL61" s="32">
        <f t="shared" si="38"/>
        <v>0</v>
      </c>
      <c r="BM61" s="4">
        <f t="shared" si="39"/>
        <v>0</v>
      </c>
      <c r="BN61" s="32">
        <f t="shared" si="40"/>
        <v>0</v>
      </c>
      <c r="BO61" s="4">
        <f t="shared" si="41"/>
        <v>0</v>
      </c>
      <c r="BP61" s="32">
        <f t="shared" si="42"/>
        <v>0</v>
      </c>
      <c r="BQ61" s="32">
        <f t="shared" si="43"/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O61" s="4">
        <v>0</v>
      </c>
      <c r="DP61" s="4">
        <v>0</v>
      </c>
      <c r="DQ61" s="4">
        <v>0</v>
      </c>
    </row>
    <row r="62" spans="1:121" x14ac:dyDescent="0.35">
      <c r="A62" s="84">
        <f>'2017 Prop share of contribs'!A58</f>
        <v>53</v>
      </c>
      <c r="B62" s="84" t="str">
        <f>'2017 Prop share of contribs'!B58</f>
        <v xml:space="preserve">HICKMAN COUNTY SCHOOLS  </v>
      </c>
      <c r="C62" s="25" t="s">
        <v>173</v>
      </c>
      <c r="D62" s="33">
        <f>ROUND('Employer Allocations'!G101,8)</f>
        <v>0</v>
      </c>
      <c r="E62" s="4">
        <f>ROUND('Employer Allocations'!H101,8)</f>
        <v>1.1944799999999999E-3</v>
      </c>
      <c r="F62" s="4">
        <f>ROUND('Employer Allocations'!I101,8)</f>
        <v>1.1944799999999999E-3</v>
      </c>
      <c r="G62" s="4">
        <v>0</v>
      </c>
      <c r="H62" s="4">
        <v>1.18771E-3</v>
      </c>
      <c r="I62" s="4">
        <v>1.18771E-3</v>
      </c>
      <c r="J62" s="7">
        <f t="shared" si="5"/>
        <v>0</v>
      </c>
      <c r="K62" s="7">
        <f t="shared" si="6"/>
        <v>32230348</v>
      </c>
      <c r="L62" s="7">
        <f t="shared" si="16"/>
        <v>32230348</v>
      </c>
      <c r="M62" s="7"/>
      <c r="N62" s="7">
        <f t="shared" si="7"/>
        <v>0</v>
      </c>
      <c r="O62" s="32">
        <f t="shared" si="8"/>
        <v>0</v>
      </c>
      <c r="P62" s="32"/>
      <c r="Q62" s="32">
        <f t="shared" si="9"/>
        <v>2294307</v>
      </c>
      <c r="R62" s="32">
        <f t="shared" si="17"/>
        <v>2294307</v>
      </c>
      <c r="S62" s="32">
        <f t="shared" si="18"/>
        <v>0</v>
      </c>
      <c r="T62" s="32">
        <f t="shared" si="10"/>
        <v>0</v>
      </c>
      <c r="U62" s="32">
        <f t="shared" si="48"/>
        <v>0</v>
      </c>
      <c r="V62" s="32">
        <f t="shared" si="48"/>
        <v>0</v>
      </c>
      <c r="W62" s="32">
        <f t="shared" si="48"/>
        <v>0</v>
      </c>
      <c r="X62" s="32">
        <f t="shared" si="19"/>
        <v>0</v>
      </c>
      <c r="Y62" s="32"/>
      <c r="Z62" s="32">
        <f t="shared" si="48"/>
        <v>0</v>
      </c>
      <c r="AA62" s="32">
        <f t="shared" si="48"/>
        <v>0</v>
      </c>
      <c r="AB62" s="32">
        <f t="shared" si="48"/>
        <v>0</v>
      </c>
      <c r="AC62" s="32">
        <f t="shared" si="20"/>
        <v>0</v>
      </c>
      <c r="AD62" s="32"/>
      <c r="AE62" s="32">
        <f t="shared" si="48"/>
        <v>0</v>
      </c>
      <c r="AF62" s="32">
        <f t="shared" si="48"/>
        <v>0</v>
      </c>
      <c r="AG62" s="32">
        <f t="shared" si="48"/>
        <v>0</v>
      </c>
      <c r="AH62" s="32">
        <f t="shared" si="48"/>
        <v>0</v>
      </c>
      <c r="AI62" s="32">
        <f t="shared" si="48"/>
        <v>0</v>
      </c>
      <c r="AJ62" s="32">
        <f t="shared" si="47"/>
        <v>0</v>
      </c>
      <c r="AK62" s="7">
        <v>0</v>
      </c>
      <c r="AL62" s="32">
        <v>0</v>
      </c>
      <c r="AM62" s="32"/>
      <c r="AN62" s="4">
        <v>0</v>
      </c>
      <c r="AO62" s="32">
        <f t="shared" si="21"/>
        <v>0</v>
      </c>
      <c r="AP62" s="32">
        <f t="shared" si="22"/>
        <v>0</v>
      </c>
      <c r="AS62" s="32">
        <f t="shared" si="23"/>
        <v>0</v>
      </c>
      <c r="AT62" s="32">
        <f t="shared" si="13"/>
        <v>0</v>
      </c>
      <c r="AU62" s="32">
        <f t="shared" si="24"/>
        <v>0</v>
      </c>
      <c r="AV62" s="4">
        <f t="shared" si="25"/>
        <v>0</v>
      </c>
      <c r="AW62" s="32">
        <f t="shared" si="26"/>
        <v>0</v>
      </c>
      <c r="AX62" s="4">
        <f t="shared" si="27"/>
        <v>0</v>
      </c>
      <c r="AY62" s="32">
        <f t="shared" si="28"/>
        <v>0</v>
      </c>
      <c r="AZ62" s="4">
        <f t="shared" si="29"/>
        <v>0</v>
      </c>
      <c r="BA62" s="32">
        <f t="shared" si="30"/>
        <v>0</v>
      </c>
      <c r="BB62" s="32">
        <f t="shared" si="14"/>
        <v>0</v>
      </c>
      <c r="BC62" s="32">
        <f t="shared" si="31"/>
        <v>0</v>
      </c>
      <c r="BD62" s="32">
        <f t="shared" si="32"/>
        <v>0</v>
      </c>
      <c r="BF62" s="32">
        <f t="shared" si="33"/>
        <v>0</v>
      </c>
      <c r="BG62" s="32">
        <f t="shared" si="15"/>
        <v>0</v>
      </c>
      <c r="BH62" s="32">
        <f t="shared" si="34"/>
        <v>0</v>
      </c>
      <c r="BI62" s="4">
        <f t="shared" si="35"/>
        <v>0</v>
      </c>
      <c r="BJ62" s="32">
        <f t="shared" si="36"/>
        <v>0</v>
      </c>
      <c r="BK62" s="4">
        <f t="shared" si="37"/>
        <v>0</v>
      </c>
      <c r="BL62" s="32">
        <f t="shared" si="38"/>
        <v>0</v>
      </c>
      <c r="BM62" s="4">
        <f t="shared" si="39"/>
        <v>0</v>
      </c>
      <c r="BN62" s="32">
        <f t="shared" si="40"/>
        <v>0</v>
      </c>
      <c r="BO62" s="4">
        <f t="shared" si="41"/>
        <v>0</v>
      </c>
      <c r="BP62" s="32">
        <f t="shared" si="42"/>
        <v>0</v>
      </c>
      <c r="BQ62" s="32">
        <f t="shared" si="43"/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</row>
    <row r="63" spans="1:121" x14ac:dyDescent="0.35">
      <c r="A63" s="84">
        <f>'2017 Prop share of contribs'!A59</f>
        <v>54</v>
      </c>
      <c r="B63" s="84" t="str">
        <f>'2017 Prop share of contribs'!B59</f>
        <v xml:space="preserve">HOPKINS COUNTY SCHOOLS  </v>
      </c>
      <c r="C63" s="25" t="s">
        <v>174</v>
      </c>
      <c r="D63" s="33">
        <f>ROUND('Employer Allocations'!G102,8)</f>
        <v>0</v>
      </c>
      <c r="E63" s="4">
        <f>ROUND('Employer Allocations'!H102,8)</f>
        <v>9.2916600000000002E-3</v>
      </c>
      <c r="F63" s="4">
        <f>ROUND('Employer Allocations'!I102,8)</f>
        <v>9.2916600000000002E-3</v>
      </c>
      <c r="G63" s="4">
        <v>0</v>
      </c>
      <c r="H63" s="4">
        <v>9.4873900000000001E-3</v>
      </c>
      <c r="I63" s="4">
        <v>9.4873900000000001E-3</v>
      </c>
      <c r="J63" s="7">
        <f t="shared" si="5"/>
        <v>0</v>
      </c>
      <c r="K63" s="7">
        <f t="shared" si="6"/>
        <v>250714485</v>
      </c>
      <c r="L63" s="7">
        <f t="shared" si="16"/>
        <v>250714485</v>
      </c>
      <c r="M63" s="7"/>
      <c r="N63" s="7">
        <f t="shared" si="7"/>
        <v>0</v>
      </c>
      <c r="O63" s="32">
        <f t="shared" si="8"/>
        <v>0</v>
      </c>
      <c r="P63" s="32"/>
      <c r="Q63" s="32">
        <f t="shared" si="9"/>
        <v>17847027</v>
      </c>
      <c r="R63" s="32">
        <f t="shared" si="17"/>
        <v>17847027</v>
      </c>
      <c r="S63" s="32">
        <f t="shared" si="18"/>
        <v>0</v>
      </c>
      <c r="T63" s="32">
        <f t="shared" si="10"/>
        <v>0</v>
      </c>
      <c r="U63" s="32">
        <f t="shared" si="48"/>
        <v>0</v>
      </c>
      <c r="V63" s="32">
        <f t="shared" si="48"/>
        <v>0</v>
      </c>
      <c r="W63" s="32">
        <f t="shared" si="48"/>
        <v>0</v>
      </c>
      <c r="X63" s="32">
        <f t="shared" si="19"/>
        <v>0</v>
      </c>
      <c r="Y63" s="32"/>
      <c r="Z63" s="32">
        <f t="shared" si="48"/>
        <v>0</v>
      </c>
      <c r="AA63" s="32">
        <f t="shared" si="48"/>
        <v>0</v>
      </c>
      <c r="AB63" s="32">
        <f t="shared" si="48"/>
        <v>0</v>
      </c>
      <c r="AC63" s="32">
        <f t="shared" si="20"/>
        <v>0</v>
      </c>
      <c r="AD63" s="32"/>
      <c r="AE63" s="32">
        <f t="shared" si="48"/>
        <v>0</v>
      </c>
      <c r="AF63" s="32">
        <f t="shared" si="48"/>
        <v>0</v>
      </c>
      <c r="AG63" s="32">
        <f t="shared" si="48"/>
        <v>0</v>
      </c>
      <c r="AH63" s="32">
        <f t="shared" si="48"/>
        <v>0</v>
      </c>
      <c r="AI63" s="32">
        <f t="shared" si="48"/>
        <v>0</v>
      </c>
      <c r="AJ63" s="32">
        <f t="shared" si="47"/>
        <v>0</v>
      </c>
      <c r="AK63" s="7">
        <v>0</v>
      </c>
      <c r="AL63" s="32">
        <v>0</v>
      </c>
      <c r="AM63" s="32"/>
      <c r="AN63" s="4">
        <v>0</v>
      </c>
      <c r="AO63" s="32">
        <f t="shared" si="21"/>
        <v>0</v>
      </c>
      <c r="AP63" s="32">
        <f t="shared" si="22"/>
        <v>0</v>
      </c>
      <c r="AS63" s="32">
        <f t="shared" si="23"/>
        <v>0</v>
      </c>
      <c r="AT63" s="32">
        <f t="shared" si="13"/>
        <v>0</v>
      </c>
      <c r="AU63" s="32">
        <f t="shared" si="24"/>
        <v>0</v>
      </c>
      <c r="AV63" s="4">
        <f t="shared" si="25"/>
        <v>0</v>
      </c>
      <c r="AW63" s="32">
        <f t="shared" si="26"/>
        <v>0</v>
      </c>
      <c r="AX63" s="4">
        <f t="shared" si="27"/>
        <v>0</v>
      </c>
      <c r="AY63" s="32">
        <f t="shared" si="28"/>
        <v>0</v>
      </c>
      <c r="AZ63" s="4">
        <f t="shared" si="29"/>
        <v>0</v>
      </c>
      <c r="BA63" s="32">
        <f t="shared" si="30"/>
        <v>0</v>
      </c>
      <c r="BB63" s="32">
        <f t="shared" si="14"/>
        <v>0</v>
      </c>
      <c r="BC63" s="32">
        <f t="shared" si="31"/>
        <v>0</v>
      </c>
      <c r="BD63" s="32">
        <f t="shared" si="32"/>
        <v>0</v>
      </c>
      <c r="BF63" s="32">
        <f t="shared" si="33"/>
        <v>0</v>
      </c>
      <c r="BG63" s="32">
        <f t="shared" si="15"/>
        <v>0</v>
      </c>
      <c r="BH63" s="32">
        <f t="shared" si="34"/>
        <v>0</v>
      </c>
      <c r="BI63" s="4">
        <f t="shared" si="35"/>
        <v>0</v>
      </c>
      <c r="BJ63" s="32">
        <f t="shared" si="36"/>
        <v>0</v>
      </c>
      <c r="BK63" s="4">
        <f t="shared" si="37"/>
        <v>0</v>
      </c>
      <c r="BL63" s="32">
        <f t="shared" si="38"/>
        <v>0</v>
      </c>
      <c r="BM63" s="4">
        <f t="shared" si="39"/>
        <v>0</v>
      </c>
      <c r="BN63" s="32">
        <f t="shared" si="40"/>
        <v>0</v>
      </c>
      <c r="BO63" s="4">
        <f t="shared" si="41"/>
        <v>0</v>
      </c>
      <c r="BP63" s="32">
        <f t="shared" si="42"/>
        <v>0</v>
      </c>
      <c r="BQ63" s="32">
        <f t="shared" si="43"/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4">
        <v>0</v>
      </c>
      <c r="DP63" s="4">
        <v>0</v>
      </c>
      <c r="DQ63" s="4">
        <v>0</v>
      </c>
    </row>
    <row r="64" spans="1:121" x14ac:dyDescent="0.35">
      <c r="A64" s="84">
        <f>'2017 Prop share of contribs'!A60</f>
        <v>55</v>
      </c>
      <c r="B64" s="84" t="str">
        <f>'2017 Prop share of contribs'!B60</f>
        <v xml:space="preserve">JACKSON COUNTY SCHOOLS  </v>
      </c>
      <c r="C64" s="25" t="s">
        <v>175</v>
      </c>
      <c r="D64" s="33">
        <f>ROUND('Employer Allocations'!G103,8)</f>
        <v>0</v>
      </c>
      <c r="E64" s="4">
        <f>ROUND('Employer Allocations'!H103,8)</f>
        <v>3.0567900000000002E-3</v>
      </c>
      <c r="F64" s="4">
        <f>ROUND('Employer Allocations'!I103,8)</f>
        <v>3.0567900000000002E-3</v>
      </c>
      <c r="G64" s="4">
        <v>0</v>
      </c>
      <c r="H64" s="4">
        <v>2.98803E-3</v>
      </c>
      <c r="I64" s="4">
        <v>2.98803E-3</v>
      </c>
      <c r="J64" s="7">
        <f t="shared" si="5"/>
        <v>0</v>
      </c>
      <c r="K64" s="7">
        <f t="shared" si="6"/>
        <v>82480583</v>
      </c>
      <c r="L64" s="7">
        <f t="shared" si="16"/>
        <v>82480583</v>
      </c>
      <c r="M64" s="7"/>
      <c r="N64" s="7">
        <f t="shared" si="7"/>
        <v>0</v>
      </c>
      <c r="O64" s="32">
        <f t="shared" si="8"/>
        <v>0</v>
      </c>
      <c r="P64" s="32"/>
      <c r="Q64" s="32">
        <f t="shared" si="9"/>
        <v>5871353</v>
      </c>
      <c r="R64" s="32">
        <f t="shared" si="17"/>
        <v>5871353</v>
      </c>
      <c r="S64" s="32">
        <f t="shared" si="18"/>
        <v>0</v>
      </c>
      <c r="T64" s="32">
        <f t="shared" si="10"/>
        <v>0</v>
      </c>
      <c r="U64" s="32">
        <f t="shared" si="48"/>
        <v>0</v>
      </c>
      <c r="V64" s="32">
        <f t="shared" si="48"/>
        <v>0</v>
      </c>
      <c r="W64" s="32">
        <f t="shared" si="48"/>
        <v>0</v>
      </c>
      <c r="X64" s="32">
        <f t="shared" si="19"/>
        <v>0</v>
      </c>
      <c r="Y64" s="32"/>
      <c r="Z64" s="32">
        <f t="shared" si="48"/>
        <v>0</v>
      </c>
      <c r="AA64" s="32">
        <f t="shared" si="48"/>
        <v>0</v>
      </c>
      <c r="AB64" s="32">
        <f t="shared" si="48"/>
        <v>0</v>
      </c>
      <c r="AC64" s="32">
        <f t="shared" si="20"/>
        <v>0</v>
      </c>
      <c r="AD64" s="32"/>
      <c r="AE64" s="32">
        <f t="shared" si="48"/>
        <v>0</v>
      </c>
      <c r="AF64" s="32">
        <f t="shared" si="48"/>
        <v>0</v>
      </c>
      <c r="AG64" s="32">
        <f t="shared" si="48"/>
        <v>0</v>
      </c>
      <c r="AH64" s="32">
        <f t="shared" si="48"/>
        <v>0</v>
      </c>
      <c r="AI64" s="32">
        <f t="shared" si="48"/>
        <v>0</v>
      </c>
      <c r="AJ64" s="32">
        <f t="shared" si="47"/>
        <v>0</v>
      </c>
      <c r="AK64" s="7">
        <v>0</v>
      </c>
      <c r="AL64" s="32">
        <v>0</v>
      </c>
      <c r="AM64" s="32"/>
      <c r="AN64" s="4">
        <v>0</v>
      </c>
      <c r="AO64" s="32">
        <f t="shared" si="21"/>
        <v>0</v>
      </c>
      <c r="AP64" s="32">
        <f t="shared" si="22"/>
        <v>0</v>
      </c>
      <c r="AS64" s="32">
        <f t="shared" si="23"/>
        <v>0</v>
      </c>
      <c r="AT64" s="32">
        <f t="shared" si="13"/>
        <v>0</v>
      </c>
      <c r="AU64" s="32">
        <f t="shared" si="24"/>
        <v>0</v>
      </c>
      <c r="AV64" s="4">
        <f t="shared" si="25"/>
        <v>0</v>
      </c>
      <c r="AW64" s="32">
        <f t="shared" si="26"/>
        <v>0</v>
      </c>
      <c r="AX64" s="4">
        <f t="shared" si="27"/>
        <v>0</v>
      </c>
      <c r="AY64" s="32">
        <f t="shared" si="28"/>
        <v>0</v>
      </c>
      <c r="AZ64" s="4">
        <f t="shared" si="29"/>
        <v>0</v>
      </c>
      <c r="BA64" s="32">
        <f t="shared" si="30"/>
        <v>0</v>
      </c>
      <c r="BB64" s="32">
        <f t="shared" si="14"/>
        <v>0</v>
      </c>
      <c r="BC64" s="32">
        <f t="shared" si="31"/>
        <v>0</v>
      </c>
      <c r="BD64" s="32">
        <f t="shared" si="32"/>
        <v>0</v>
      </c>
      <c r="BF64" s="32">
        <f t="shared" si="33"/>
        <v>0</v>
      </c>
      <c r="BG64" s="32">
        <f t="shared" si="15"/>
        <v>0</v>
      </c>
      <c r="BH64" s="32">
        <f t="shared" si="34"/>
        <v>0</v>
      </c>
      <c r="BI64" s="4">
        <f t="shared" si="35"/>
        <v>0</v>
      </c>
      <c r="BJ64" s="32">
        <f t="shared" si="36"/>
        <v>0</v>
      </c>
      <c r="BK64" s="4">
        <f t="shared" si="37"/>
        <v>0</v>
      </c>
      <c r="BL64" s="32">
        <f t="shared" si="38"/>
        <v>0</v>
      </c>
      <c r="BM64" s="4">
        <f t="shared" si="39"/>
        <v>0</v>
      </c>
      <c r="BN64" s="32">
        <f t="shared" si="40"/>
        <v>0</v>
      </c>
      <c r="BO64" s="4">
        <f t="shared" si="41"/>
        <v>0</v>
      </c>
      <c r="BP64" s="32">
        <f t="shared" si="42"/>
        <v>0</v>
      </c>
      <c r="BQ64" s="32">
        <f t="shared" si="43"/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O64" s="4">
        <v>0</v>
      </c>
      <c r="DP64" s="4">
        <v>0</v>
      </c>
      <c r="DQ64" s="4">
        <v>0</v>
      </c>
    </row>
    <row r="65" spans="1:121" x14ac:dyDescent="0.35">
      <c r="A65" s="84">
        <f>'2017 Prop share of contribs'!A61</f>
        <v>56</v>
      </c>
      <c r="B65" s="84" t="str">
        <f>'2017 Prop share of contribs'!B61</f>
        <v xml:space="preserve">JEFFERSON COUNTY SCHOOLS  </v>
      </c>
      <c r="C65" s="25" t="s">
        <v>176</v>
      </c>
      <c r="D65" s="33">
        <f>ROUND('Employer Allocations'!G104,8)</f>
        <v>0</v>
      </c>
      <c r="E65" s="39">
        <f>ROUND('Employer Allocations'!H104,8)+0.00000006</f>
        <v>0.18591225</v>
      </c>
      <c r="F65" s="39">
        <f>ROUND('Employer Allocations'!I104,8)+0.00000006</f>
        <v>0.18591225</v>
      </c>
      <c r="G65" s="4">
        <v>0</v>
      </c>
      <c r="H65" s="4">
        <v>0.18382137999999998</v>
      </c>
      <c r="I65" s="4">
        <v>0.18382137999999998</v>
      </c>
      <c r="J65" s="7">
        <f t="shared" si="5"/>
        <v>0</v>
      </c>
      <c r="K65" s="7">
        <f>ROUND($J$2*E65,0)-4</f>
        <v>5016422679</v>
      </c>
      <c r="L65" s="7">
        <f t="shared" si="16"/>
        <v>5016422679</v>
      </c>
      <c r="M65" s="7"/>
      <c r="N65" s="7">
        <f t="shared" si="7"/>
        <v>0</v>
      </c>
      <c r="O65" s="32">
        <f t="shared" si="8"/>
        <v>0</v>
      </c>
      <c r="P65" s="32"/>
      <c r="Q65" s="32">
        <f>ROUND(Q$2*$F65,0)+3</f>
        <v>357092380</v>
      </c>
      <c r="R65" s="32">
        <f>ROUND(Q$2*$E65,0)+3</f>
        <v>357092380</v>
      </c>
      <c r="S65" s="32">
        <f t="shared" si="18"/>
        <v>0</v>
      </c>
      <c r="T65" s="32">
        <f t="shared" si="10"/>
        <v>0</v>
      </c>
      <c r="U65" s="32">
        <f t="shared" si="48"/>
        <v>0</v>
      </c>
      <c r="V65" s="32">
        <f t="shared" si="48"/>
        <v>0</v>
      </c>
      <c r="W65" s="32">
        <f t="shared" si="48"/>
        <v>0</v>
      </c>
      <c r="X65" s="32">
        <f t="shared" si="19"/>
        <v>0</v>
      </c>
      <c r="Y65" s="32"/>
      <c r="Z65" s="32">
        <f t="shared" si="48"/>
        <v>0</v>
      </c>
      <c r="AA65" s="32">
        <f t="shared" si="48"/>
        <v>0</v>
      </c>
      <c r="AB65" s="32">
        <f t="shared" si="48"/>
        <v>0</v>
      </c>
      <c r="AC65" s="32">
        <f t="shared" si="20"/>
        <v>0</v>
      </c>
      <c r="AD65" s="32"/>
      <c r="AE65" s="32">
        <f t="shared" si="48"/>
        <v>0</v>
      </c>
      <c r="AF65" s="32">
        <f t="shared" si="48"/>
        <v>0</v>
      </c>
      <c r="AG65" s="32">
        <f t="shared" si="48"/>
        <v>0</v>
      </c>
      <c r="AH65" s="32">
        <f t="shared" si="48"/>
        <v>0</v>
      </c>
      <c r="AI65" s="32">
        <f t="shared" si="48"/>
        <v>0</v>
      </c>
      <c r="AJ65" s="32">
        <f t="shared" si="47"/>
        <v>0</v>
      </c>
      <c r="AK65" s="7">
        <v>0</v>
      </c>
      <c r="AL65" s="32">
        <v>0</v>
      </c>
      <c r="AM65" s="32"/>
      <c r="AN65" s="4">
        <v>0</v>
      </c>
      <c r="AO65" s="32">
        <f t="shared" si="21"/>
        <v>0</v>
      </c>
      <c r="AP65" s="32">
        <f t="shared" si="22"/>
        <v>0</v>
      </c>
      <c r="AS65" s="32">
        <f t="shared" si="23"/>
        <v>0</v>
      </c>
      <c r="AT65" s="32">
        <f t="shared" si="13"/>
        <v>0</v>
      </c>
      <c r="AU65" s="32">
        <f t="shared" si="24"/>
        <v>0</v>
      </c>
      <c r="AV65" s="4">
        <f t="shared" si="25"/>
        <v>0</v>
      </c>
      <c r="AW65" s="32">
        <f t="shared" si="26"/>
        <v>0</v>
      </c>
      <c r="AX65" s="4">
        <f t="shared" si="27"/>
        <v>0</v>
      </c>
      <c r="AY65" s="32">
        <f t="shared" si="28"/>
        <v>0</v>
      </c>
      <c r="AZ65" s="4">
        <f t="shared" si="29"/>
        <v>0</v>
      </c>
      <c r="BA65" s="32">
        <f t="shared" si="30"/>
        <v>0</v>
      </c>
      <c r="BB65" s="32">
        <f t="shared" si="14"/>
        <v>0</v>
      </c>
      <c r="BC65" s="32">
        <f t="shared" si="31"/>
        <v>0</v>
      </c>
      <c r="BD65" s="32">
        <f t="shared" si="32"/>
        <v>0</v>
      </c>
      <c r="BF65" s="32">
        <f t="shared" si="33"/>
        <v>0</v>
      </c>
      <c r="BG65" s="32">
        <f t="shared" si="15"/>
        <v>0</v>
      </c>
      <c r="BH65" s="32">
        <f t="shared" si="34"/>
        <v>0</v>
      </c>
      <c r="BI65" s="4">
        <f t="shared" si="35"/>
        <v>0</v>
      </c>
      <c r="BJ65" s="32">
        <f t="shared" si="36"/>
        <v>0</v>
      </c>
      <c r="BK65" s="4">
        <f t="shared" si="37"/>
        <v>0</v>
      </c>
      <c r="BL65" s="32">
        <f t="shared" si="38"/>
        <v>0</v>
      </c>
      <c r="BM65" s="4">
        <f t="shared" si="39"/>
        <v>0</v>
      </c>
      <c r="BN65" s="32">
        <f t="shared" si="40"/>
        <v>0</v>
      </c>
      <c r="BO65" s="4">
        <f t="shared" si="41"/>
        <v>0</v>
      </c>
      <c r="BP65" s="32">
        <f t="shared" si="42"/>
        <v>0</v>
      </c>
      <c r="BQ65" s="32">
        <f t="shared" si="43"/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</row>
    <row r="66" spans="1:121" x14ac:dyDescent="0.35">
      <c r="A66" s="84">
        <f>'2017 Prop share of contribs'!A62</f>
        <v>57</v>
      </c>
      <c r="B66" s="84" t="str">
        <f>'2017 Prop share of contribs'!B62</f>
        <v xml:space="preserve">JESSAMINE COUNTY SCHOOLS  </v>
      </c>
      <c r="C66" s="25" t="s">
        <v>177</v>
      </c>
      <c r="D66" s="33">
        <f>ROUND('Employer Allocations'!G105,8)</f>
        <v>0</v>
      </c>
      <c r="E66" s="4">
        <f>ROUND('Employer Allocations'!H105,8)</f>
        <v>1.094726E-2</v>
      </c>
      <c r="F66" s="4">
        <f>ROUND('Employer Allocations'!I105,8)</f>
        <v>1.094726E-2</v>
      </c>
      <c r="G66" s="4">
        <v>0</v>
      </c>
      <c r="H66" s="4">
        <v>1.111997E-2</v>
      </c>
      <c r="I66" s="4">
        <v>1.111997E-2</v>
      </c>
      <c r="J66" s="7">
        <f t="shared" si="5"/>
        <v>0</v>
      </c>
      <c r="K66" s="7">
        <f t="shared" si="6"/>
        <v>295387116</v>
      </c>
      <c r="L66" s="7">
        <f t="shared" si="16"/>
        <v>295387116</v>
      </c>
      <c r="M66" s="7"/>
      <c r="N66" s="7">
        <f t="shared" si="7"/>
        <v>0</v>
      </c>
      <c r="O66" s="32">
        <f t="shared" si="8"/>
        <v>0</v>
      </c>
      <c r="P66" s="32"/>
      <c r="Q66" s="32">
        <f t="shared" si="9"/>
        <v>21027033</v>
      </c>
      <c r="R66" s="32">
        <f t="shared" si="17"/>
        <v>21027033</v>
      </c>
      <c r="S66" s="32">
        <f t="shared" si="18"/>
        <v>0</v>
      </c>
      <c r="T66" s="32">
        <f t="shared" si="10"/>
        <v>0</v>
      </c>
      <c r="U66" s="32">
        <f t="shared" si="48"/>
        <v>0</v>
      </c>
      <c r="V66" s="32">
        <f t="shared" si="48"/>
        <v>0</v>
      </c>
      <c r="W66" s="32">
        <f t="shared" si="48"/>
        <v>0</v>
      </c>
      <c r="X66" s="32">
        <f t="shared" si="19"/>
        <v>0</v>
      </c>
      <c r="Y66" s="32"/>
      <c r="Z66" s="32">
        <f t="shared" si="48"/>
        <v>0</v>
      </c>
      <c r="AA66" s="32">
        <f t="shared" si="48"/>
        <v>0</v>
      </c>
      <c r="AB66" s="32">
        <f t="shared" si="48"/>
        <v>0</v>
      </c>
      <c r="AC66" s="32">
        <f t="shared" si="20"/>
        <v>0</v>
      </c>
      <c r="AD66" s="32"/>
      <c r="AE66" s="32">
        <f t="shared" si="48"/>
        <v>0</v>
      </c>
      <c r="AF66" s="32">
        <f t="shared" si="48"/>
        <v>0</v>
      </c>
      <c r="AG66" s="32">
        <f t="shared" si="48"/>
        <v>0</v>
      </c>
      <c r="AH66" s="32">
        <f t="shared" si="48"/>
        <v>0</v>
      </c>
      <c r="AI66" s="32">
        <f t="shared" si="48"/>
        <v>0</v>
      </c>
      <c r="AJ66" s="32">
        <f t="shared" si="48"/>
        <v>0</v>
      </c>
      <c r="AK66" s="7">
        <v>0</v>
      </c>
      <c r="AL66" s="32">
        <v>0</v>
      </c>
      <c r="AM66" s="32"/>
      <c r="AN66" s="4">
        <v>0</v>
      </c>
      <c r="AO66" s="32">
        <f t="shared" si="21"/>
        <v>0</v>
      </c>
      <c r="AP66" s="32">
        <f t="shared" si="22"/>
        <v>0</v>
      </c>
      <c r="AS66" s="32">
        <f t="shared" si="23"/>
        <v>0</v>
      </c>
      <c r="AT66" s="32">
        <f t="shared" si="13"/>
        <v>0</v>
      </c>
      <c r="AU66" s="32">
        <f t="shared" si="24"/>
        <v>0</v>
      </c>
      <c r="AV66" s="4">
        <f t="shared" si="25"/>
        <v>0</v>
      </c>
      <c r="AW66" s="32">
        <f t="shared" si="26"/>
        <v>0</v>
      </c>
      <c r="AX66" s="4">
        <f t="shared" si="27"/>
        <v>0</v>
      </c>
      <c r="AY66" s="32">
        <f t="shared" si="28"/>
        <v>0</v>
      </c>
      <c r="AZ66" s="4">
        <f t="shared" si="29"/>
        <v>0</v>
      </c>
      <c r="BA66" s="32">
        <f t="shared" si="30"/>
        <v>0</v>
      </c>
      <c r="BB66" s="32">
        <f t="shared" si="14"/>
        <v>0</v>
      </c>
      <c r="BC66" s="32">
        <f t="shared" si="31"/>
        <v>0</v>
      </c>
      <c r="BD66" s="32">
        <f t="shared" si="32"/>
        <v>0</v>
      </c>
      <c r="BF66" s="32">
        <f t="shared" si="33"/>
        <v>0</v>
      </c>
      <c r="BG66" s="32">
        <f t="shared" si="15"/>
        <v>0</v>
      </c>
      <c r="BH66" s="32">
        <f t="shared" si="34"/>
        <v>0</v>
      </c>
      <c r="BI66" s="4">
        <f t="shared" si="35"/>
        <v>0</v>
      </c>
      <c r="BJ66" s="32">
        <f t="shared" si="36"/>
        <v>0</v>
      </c>
      <c r="BK66" s="4">
        <f t="shared" si="37"/>
        <v>0</v>
      </c>
      <c r="BL66" s="32">
        <f t="shared" si="38"/>
        <v>0</v>
      </c>
      <c r="BM66" s="4">
        <f t="shared" si="39"/>
        <v>0</v>
      </c>
      <c r="BN66" s="32">
        <f t="shared" si="40"/>
        <v>0</v>
      </c>
      <c r="BO66" s="4">
        <f t="shared" si="41"/>
        <v>0</v>
      </c>
      <c r="BP66" s="32">
        <f t="shared" si="42"/>
        <v>0</v>
      </c>
      <c r="BQ66" s="32">
        <f t="shared" si="43"/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4">
        <v>0</v>
      </c>
      <c r="DP66" s="4">
        <v>0</v>
      </c>
      <c r="DQ66" s="4">
        <v>0</v>
      </c>
    </row>
    <row r="67" spans="1:121" x14ac:dyDescent="0.35">
      <c r="A67" s="84">
        <f>'2017 Prop share of contribs'!A63</f>
        <v>58</v>
      </c>
      <c r="B67" s="84" t="str">
        <f>'2017 Prop share of contribs'!B63</f>
        <v xml:space="preserve">JOHNSON COUNTY SCHOOLS  </v>
      </c>
      <c r="C67" s="25" t="s">
        <v>178</v>
      </c>
      <c r="D67" s="33">
        <f>ROUND('Employer Allocations'!G106,8)</f>
        <v>0</v>
      </c>
      <c r="E67" s="4">
        <f>ROUND('Employer Allocations'!H106,8)</f>
        <v>5.1129599999999997E-3</v>
      </c>
      <c r="F67" s="4">
        <f>ROUND('Employer Allocations'!I106,8)</f>
        <v>5.1129599999999997E-3</v>
      </c>
      <c r="G67" s="4">
        <v>0</v>
      </c>
      <c r="H67" s="4">
        <v>5.0380199999999998E-3</v>
      </c>
      <c r="I67" s="4">
        <v>5.0380199999999998E-3</v>
      </c>
      <c r="J67" s="7">
        <f t="shared" si="5"/>
        <v>0</v>
      </c>
      <c r="K67" s="7">
        <f t="shared" si="6"/>
        <v>137961692</v>
      </c>
      <c r="L67" s="7">
        <f t="shared" si="16"/>
        <v>137961692</v>
      </c>
      <c r="M67" s="7"/>
      <c r="N67" s="7">
        <f t="shared" si="7"/>
        <v>0</v>
      </c>
      <c r="O67" s="32">
        <f t="shared" si="8"/>
        <v>0</v>
      </c>
      <c r="P67" s="32"/>
      <c r="Q67" s="32">
        <f t="shared" si="9"/>
        <v>9820757</v>
      </c>
      <c r="R67" s="32">
        <f t="shared" si="17"/>
        <v>9820757</v>
      </c>
      <c r="S67" s="32">
        <f t="shared" si="18"/>
        <v>0</v>
      </c>
      <c r="T67" s="32">
        <f t="shared" si="10"/>
        <v>0</v>
      </c>
      <c r="U67" s="32">
        <f t="shared" si="48"/>
        <v>0</v>
      </c>
      <c r="V67" s="32">
        <f t="shared" si="48"/>
        <v>0</v>
      </c>
      <c r="W67" s="32">
        <f t="shared" si="48"/>
        <v>0</v>
      </c>
      <c r="X67" s="32">
        <f t="shared" si="19"/>
        <v>0</v>
      </c>
      <c r="Y67" s="32"/>
      <c r="Z67" s="32">
        <f t="shared" si="48"/>
        <v>0</v>
      </c>
      <c r="AA67" s="32">
        <f t="shared" si="48"/>
        <v>0</v>
      </c>
      <c r="AB67" s="32">
        <f t="shared" si="48"/>
        <v>0</v>
      </c>
      <c r="AC67" s="32">
        <f t="shared" si="20"/>
        <v>0</v>
      </c>
      <c r="AD67" s="32"/>
      <c r="AE67" s="32">
        <f t="shared" si="48"/>
        <v>0</v>
      </c>
      <c r="AF67" s="32">
        <f t="shared" si="48"/>
        <v>0</v>
      </c>
      <c r="AG67" s="32">
        <f t="shared" si="48"/>
        <v>0</v>
      </c>
      <c r="AH67" s="32">
        <f t="shared" si="48"/>
        <v>0</v>
      </c>
      <c r="AI67" s="32">
        <f t="shared" si="48"/>
        <v>0</v>
      </c>
      <c r="AJ67" s="32">
        <f t="shared" si="48"/>
        <v>0</v>
      </c>
      <c r="AK67" s="7">
        <v>0</v>
      </c>
      <c r="AL67" s="32">
        <v>0</v>
      </c>
      <c r="AM67" s="32"/>
      <c r="AN67" s="4">
        <v>0</v>
      </c>
      <c r="AO67" s="32">
        <f t="shared" si="21"/>
        <v>0</v>
      </c>
      <c r="AP67" s="32">
        <f t="shared" si="22"/>
        <v>0</v>
      </c>
      <c r="AS67" s="32">
        <f t="shared" si="23"/>
        <v>0</v>
      </c>
      <c r="AT67" s="32">
        <f t="shared" si="13"/>
        <v>0</v>
      </c>
      <c r="AU67" s="32">
        <f t="shared" si="24"/>
        <v>0</v>
      </c>
      <c r="AV67" s="4">
        <f t="shared" si="25"/>
        <v>0</v>
      </c>
      <c r="AW67" s="32">
        <f t="shared" si="26"/>
        <v>0</v>
      </c>
      <c r="AX67" s="4">
        <f t="shared" si="27"/>
        <v>0</v>
      </c>
      <c r="AY67" s="32">
        <f t="shared" si="28"/>
        <v>0</v>
      </c>
      <c r="AZ67" s="4">
        <f t="shared" si="29"/>
        <v>0</v>
      </c>
      <c r="BA67" s="32">
        <f t="shared" si="30"/>
        <v>0</v>
      </c>
      <c r="BB67" s="32">
        <f t="shared" si="14"/>
        <v>0</v>
      </c>
      <c r="BC67" s="32">
        <f t="shared" si="31"/>
        <v>0</v>
      </c>
      <c r="BD67" s="32">
        <f t="shared" si="32"/>
        <v>0</v>
      </c>
      <c r="BF67" s="32">
        <f t="shared" si="33"/>
        <v>0</v>
      </c>
      <c r="BG67" s="32">
        <f t="shared" si="15"/>
        <v>0</v>
      </c>
      <c r="BH67" s="32">
        <f t="shared" si="34"/>
        <v>0</v>
      </c>
      <c r="BI67" s="4">
        <f t="shared" si="35"/>
        <v>0</v>
      </c>
      <c r="BJ67" s="32">
        <f t="shared" si="36"/>
        <v>0</v>
      </c>
      <c r="BK67" s="4">
        <f t="shared" si="37"/>
        <v>0</v>
      </c>
      <c r="BL67" s="32">
        <f t="shared" si="38"/>
        <v>0</v>
      </c>
      <c r="BM67" s="4">
        <f t="shared" si="39"/>
        <v>0</v>
      </c>
      <c r="BN67" s="32">
        <f t="shared" si="40"/>
        <v>0</v>
      </c>
      <c r="BO67" s="4">
        <f t="shared" si="41"/>
        <v>0</v>
      </c>
      <c r="BP67" s="32">
        <f t="shared" si="42"/>
        <v>0</v>
      </c>
      <c r="BQ67" s="32">
        <f t="shared" si="43"/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O67" s="4">
        <v>0</v>
      </c>
      <c r="DP67" s="4">
        <v>0</v>
      </c>
      <c r="DQ67" s="4">
        <v>0</v>
      </c>
    </row>
    <row r="68" spans="1:121" x14ac:dyDescent="0.35">
      <c r="A68" s="84">
        <f>'2017 Prop share of contribs'!A64</f>
        <v>59</v>
      </c>
      <c r="B68" s="84" t="str">
        <f>'2017 Prop share of contribs'!B64</f>
        <v xml:space="preserve">KENTON COUNTY SCHOOLS  </v>
      </c>
      <c r="C68" s="25" t="s">
        <v>179</v>
      </c>
      <c r="D68" s="33">
        <f>ROUND('Employer Allocations'!G107,8)</f>
        <v>0</v>
      </c>
      <c r="E68" s="4">
        <f>ROUND('Employer Allocations'!H107,8)</f>
        <v>1.949476E-2</v>
      </c>
      <c r="F68" s="4">
        <f>ROUND('Employer Allocations'!I107,8)</f>
        <v>1.949476E-2</v>
      </c>
      <c r="G68" s="4">
        <v>0</v>
      </c>
      <c r="H68" s="4">
        <v>1.9465969999999999E-2</v>
      </c>
      <c r="I68" s="4">
        <v>1.9465969999999999E-2</v>
      </c>
      <c r="J68" s="7">
        <f t="shared" si="5"/>
        <v>0</v>
      </c>
      <c r="K68" s="7">
        <f t="shared" si="6"/>
        <v>526022122</v>
      </c>
      <c r="L68" s="7">
        <f t="shared" si="16"/>
        <v>526022122</v>
      </c>
      <c r="M68" s="7"/>
      <c r="N68" s="7">
        <f t="shared" si="7"/>
        <v>0</v>
      </c>
      <c r="O68" s="32">
        <f t="shared" si="8"/>
        <v>0</v>
      </c>
      <c r="P68" s="32"/>
      <c r="Q68" s="32">
        <f t="shared" si="9"/>
        <v>37444709</v>
      </c>
      <c r="R68" s="32">
        <f t="shared" si="17"/>
        <v>37444709</v>
      </c>
      <c r="S68" s="32">
        <f t="shared" si="18"/>
        <v>0</v>
      </c>
      <c r="T68" s="32">
        <f t="shared" si="10"/>
        <v>0</v>
      </c>
      <c r="U68" s="32">
        <f t="shared" si="48"/>
        <v>0</v>
      </c>
      <c r="V68" s="32">
        <f t="shared" si="48"/>
        <v>0</v>
      </c>
      <c r="W68" s="32">
        <f t="shared" si="48"/>
        <v>0</v>
      </c>
      <c r="X68" s="32">
        <f t="shared" si="19"/>
        <v>0</v>
      </c>
      <c r="Y68" s="32"/>
      <c r="Z68" s="32">
        <f t="shared" si="48"/>
        <v>0</v>
      </c>
      <c r="AA68" s="32">
        <f t="shared" si="48"/>
        <v>0</v>
      </c>
      <c r="AB68" s="32">
        <f t="shared" si="48"/>
        <v>0</v>
      </c>
      <c r="AC68" s="32">
        <f t="shared" si="20"/>
        <v>0</v>
      </c>
      <c r="AD68" s="32"/>
      <c r="AE68" s="32">
        <f t="shared" si="48"/>
        <v>0</v>
      </c>
      <c r="AF68" s="32">
        <f t="shared" si="48"/>
        <v>0</v>
      </c>
      <c r="AG68" s="32">
        <f t="shared" si="48"/>
        <v>0</v>
      </c>
      <c r="AH68" s="32">
        <f t="shared" si="48"/>
        <v>0</v>
      </c>
      <c r="AI68" s="32">
        <f t="shared" si="48"/>
        <v>0</v>
      </c>
      <c r="AJ68" s="32">
        <f t="shared" si="48"/>
        <v>0</v>
      </c>
      <c r="AK68" s="7">
        <v>0</v>
      </c>
      <c r="AL68" s="32">
        <v>0</v>
      </c>
      <c r="AM68" s="32"/>
      <c r="AN68" s="4">
        <v>0</v>
      </c>
      <c r="AO68" s="32">
        <f t="shared" si="21"/>
        <v>0</v>
      </c>
      <c r="AP68" s="32">
        <f t="shared" si="22"/>
        <v>0</v>
      </c>
      <c r="AS68" s="32">
        <f t="shared" si="23"/>
        <v>0</v>
      </c>
      <c r="AT68" s="32">
        <f t="shared" si="13"/>
        <v>0</v>
      </c>
      <c r="AU68" s="32">
        <f t="shared" si="24"/>
        <v>0</v>
      </c>
      <c r="AV68" s="4">
        <f t="shared" si="25"/>
        <v>0</v>
      </c>
      <c r="AW68" s="32">
        <f t="shared" si="26"/>
        <v>0</v>
      </c>
      <c r="AX68" s="4">
        <f t="shared" si="27"/>
        <v>0</v>
      </c>
      <c r="AY68" s="32">
        <f t="shared" si="28"/>
        <v>0</v>
      </c>
      <c r="AZ68" s="4">
        <f t="shared" si="29"/>
        <v>0</v>
      </c>
      <c r="BA68" s="32">
        <f t="shared" si="30"/>
        <v>0</v>
      </c>
      <c r="BB68" s="32">
        <f t="shared" si="14"/>
        <v>0</v>
      </c>
      <c r="BC68" s="32">
        <f t="shared" si="31"/>
        <v>0</v>
      </c>
      <c r="BD68" s="32">
        <f t="shared" si="32"/>
        <v>0</v>
      </c>
      <c r="BF68" s="32">
        <f t="shared" si="33"/>
        <v>0</v>
      </c>
      <c r="BG68" s="32">
        <f t="shared" si="15"/>
        <v>0</v>
      </c>
      <c r="BH68" s="32">
        <f t="shared" si="34"/>
        <v>0</v>
      </c>
      <c r="BI68" s="4">
        <f t="shared" si="35"/>
        <v>0</v>
      </c>
      <c r="BJ68" s="32">
        <f t="shared" si="36"/>
        <v>0</v>
      </c>
      <c r="BK68" s="4">
        <f t="shared" si="37"/>
        <v>0</v>
      </c>
      <c r="BL68" s="32">
        <f t="shared" si="38"/>
        <v>0</v>
      </c>
      <c r="BM68" s="4">
        <f t="shared" si="39"/>
        <v>0</v>
      </c>
      <c r="BN68" s="32">
        <f t="shared" si="40"/>
        <v>0</v>
      </c>
      <c r="BO68" s="4">
        <f t="shared" si="41"/>
        <v>0</v>
      </c>
      <c r="BP68" s="32">
        <f t="shared" si="42"/>
        <v>0</v>
      </c>
      <c r="BQ68" s="32">
        <f t="shared" si="43"/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  <c r="DO68" s="4">
        <v>0</v>
      </c>
      <c r="DP68" s="4">
        <v>0</v>
      </c>
      <c r="DQ68" s="4">
        <v>0</v>
      </c>
    </row>
    <row r="69" spans="1:121" x14ac:dyDescent="0.35">
      <c r="A69" s="84">
        <f>'2017 Prop share of contribs'!A65</f>
        <v>60</v>
      </c>
      <c r="B69" s="84" t="str">
        <f>'2017 Prop share of contribs'!B65</f>
        <v xml:space="preserve">KNOTT COUNTY SCHOOLS  </v>
      </c>
      <c r="C69" s="25" t="s">
        <v>180</v>
      </c>
      <c r="D69" s="33">
        <f>ROUND('Employer Allocations'!G108,8)</f>
        <v>0</v>
      </c>
      <c r="E69" s="4">
        <f>ROUND('Employer Allocations'!H108,8)</f>
        <v>3.1059099999999999E-3</v>
      </c>
      <c r="F69" s="4">
        <f>ROUND('Employer Allocations'!I108,8)</f>
        <v>3.1059099999999999E-3</v>
      </c>
      <c r="G69" s="4">
        <v>0</v>
      </c>
      <c r="H69" s="4">
        <v>3.1871899999999999E-3</v>
      </c>
      <c r="I69" s="4">
        <v>3.1871899999999999E-3</v>
      </c>
      <c r="J69" s="7">
        <f t="shared" si="5"/>
        <v>0</v>
      </c>
      <c r="K69" s="7">
        <f t="shared" si="6"/>
        <v>83805975</v>
      </c>
      <c r="L69" s="7">
        <f t="shared" si="16"/>
        <v>83805975</v>
      </c>
      <c r="M69" s="7"/>
      <c r="N69" s="7">
        <f t="shared" si="7"/>
        <v>0</v>
      </c>
      <c r="O69" s="32">
        <f t="shared" si="8"/>
        <v>0</v>
      </c>
      <c r="P69" s="32"/>
      <c r="Q69" s="32">
        <f t="shared" si="9"/>
        <v>5965700</v>
      </c>
      <c r="R69" s="32">
        <f t="shared" si="17"/>
        <v>5965700</v>
      </c>
      <c r="S69" s="32">
        <f t="shared" si="18"/>
        <v>0</v>
      </c>
      <c r="T69" s="32">
        <f t="shared" si="10"/>
        <v>0</v>
      </c>
      <c r="U69" s="32">
        <f t="shared" si="48"/>
        <v>0</v>
      </c>
      <c r="V69" s="32">
        <f t="shared" si="48"/>
        <v>0</v>
      </c>
      <c r="W69" s="32">
        <f t="shared" si="48"/>
        <v>0</v>
      </c>
      <c r="X69" s="32">
        <f t="shared" si="19"/>
        <v>0</v>
      </c>
      <c r="Y69" s="32"/>
      <c r="Z69" s="32">
        <f t="shared" si="48"/>
        <v>0</v>
      </c>
      <c r="AA69" s="32">
        <f t="shared" si="48"/>
        <v>0</v>
      </c>
      <c r="AB69" s="32">
        <f t="shared" si="48"/>
        <v>0</v>
      </c>
      <c r="AC69" s="32">
        <f t="shared" si="20"/>
        <v>0</v>
      </c>
      <c r="AD69" s="32"/>
      <c r="AE69" s="32">
        <f t="shared" si="48"/>
        <v>0</v>
      </c>
      <c r="AF69" s="32">
        <f t="shared" si="48"/>
        <v>0</v>
      </c>
      <c r="AG69" s="32">
        <f t="shared" si="48"/>
        <v>0</v>
      </c>
      <c r="AH69" s="32">
        <f t="shared" si="48"/>
        <v>0</v>
      </c>
      <c r="AI69" s="32">
        <f t="shared" si="48"/>
        <v>0</v>
      </c>
      <c r="AJ69" s="32">
        <f t="shared" si="48"/>
        <v>0</v>
      </c>
      <c r="AK69" s="7">
        <v>0</v>
      </c>
      <c r="AL69" s="32">
        <v>0</v>
      </c>
      <c r="AM69" s="32"/>
      <c r="AN69" s="4">
        <v>0</v>
      </c>
      <c r="AO69" s="32">
        <f t="shared" si="21"/>
        <v>0</v>
      </c>
      <c r="AP69" s="32">
        <f t="shared" si="22"/>
        <v>0</v>
      </c>
      <c r="AS69" s="32">
        <f t="shared" si="23"/>
        <v>0</v>
      </c>
      <c r="AT69" s="32">
        <f t="shared" si="13"/>
        <v>0</v>
      </c>
      <c r="AU69" s="32">
        <f t="shared" si="24"/>
        <v>0</v>
      </c>
      <c r="AV69" s="4">
        <f t="shared" si="25"/>
        <v>0</v>
      </c>
      <c r="AW69" s="32">
        <f t="shared" si="26"/>
        <v>0</v>
      </c>
      <c r="AX69" s="4">
        <f t="shared" si="27"/>
        <v>0</v>
      </c>
      <c r="AY69" s="32">
        <f t="shared" si="28"/>
        <v>0</v>
      </c>
      <c r="AZ69" s="4">
        <f t="shared" si="29"/>
        <v>0</v>
      </c>
      <c r="BA69" s="32">
        <f t="shared" si="30"/>
        <v>0</v>
      </c>
      <c r="BB69" s="32">
        <f t="shared" si="14"/>
        <v>0</v>
      </c>
      <c r="BC69" s="32">
        <f t="shared" si="31"/>
        <v>0</v>
      </c>
      <c r="BD69" s="32">
        <f t="shared" si="32"/>
        <v>0</v>
      </c>
      <c r="BF69" s="32">
        <f t="shared" si="33"/>
        <v>0</v>
      </c>
      <c r="BG69" s="32">
        <f t="shared" si="15"/>
        <v>0</v>
      </c>
      <c r="BH69" s="32">
        <f t="shared" si="34"/>
        <v>0</v>
      </c>
      <c r="BI69" s="4">
        <f t="shared" si="35"/>
        <v>0</v>
      </c>
      <c r="BJ69" s="32">
        <f t="shared" si="36"/>
        <v>0</v>
      </c>
      <c r="BK69" s="4">
        <f t="shared" si="37"/>
        <v>0</v>
      </c>
      <c r="BL69" s="32">
        <f t="shared" si="38"/>
        <v>0</v>
      </c>
      <c r="BM69" s="4">
        <f t="shared" si="39"/>
        <v>0</v>
      </c>
      <c r="BN69" s="32">
        <f t="shared" si="40"/>
        <v>0</v>
      </c>
      <c r="BO69" s="4">
        <f t="shared" si="41"/>
        <v>0</v>
      </c>
      <c r="BP69" s="32">
        <f t="shared" si="42"/>
        <v>0</v>
      </c>
      <c r="BQ69" s="32">
        <f t="shared" si="43"/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N69" s="4">
        <v>0</v>
      </c>
      <c r="DO69" s="4">
        <v>0</v>
      </c>
      <c r="DP69" s="4">
        <v>0</v>
      </c>
      <c r="DQ69" s="4">
        <v>0</v>
      </c>
    </row>
    <row r="70" spans="1:121" x14ac:dyDescent="0.35">
      <c r="A70" s="84">
        <f>'2017 Prop share of contribs'!A66</f>
        <v>61</v>
      </c>
      <c r="B70" s="84" t="str">
        <f>'2017 Prop share of contribs'!B66</f>
        <v xml:space="preserve">KNOX COUNTY SCHOOLS  </v>
      </c>
      <c r="C70" s="25" t="s">
        <v>181</v>
      </c>
      <c r="D70" s="33">
        <f>ROUND('Employer Allocations'!G109,8)</f>
        <v>0</v>
      </c>
      <c r="E70" s="4">
        <f>ROUND('Employer Allocations'!H109,8)</f>
        <v>5.8288899999999998E-3</v>
      </c>
      <c r="F70" s="4">
        <f>ROUND('Employer Allocations'!I109,8)</f>
        <v>5.8288899999999998E-3</v>
      </c>
      <c r="G70" s="4">
        <v>0</v>
      </c>
      <c r="H70" s="4">
        <v>6.0433500000000003E-3</v>
      </c>
      <c r="I70" s="4">
        <v>6.0433500000000003E-3</v>
      </c>
      <c r="J70" s="7">
        <f t="shared" si="5"/>
        <v>0</v>
      </c>
      <c r="K70" s="7">
        <f t="shared" si="6"/>
        <v>157279448</v>
      </c>
      <c r="L70" s="7">
        <f t="shared" si="16"/>
        <v>157279448</v>
      </c>
      <c r="M70" s="7"/>
      <c r="N70" s="7">
        <f t="shared" si="7"/>
        <v>0</v>
      </c>
      <c r="O70" s="32">
        <f t="shared" si="8"/>
        <v>0</v>
      </c>
      <c r="P70" s="32"/>
      <c r="Q70" s="32">
        <f t="shared" si="9"/>
        <v>11195885</v>
      </c>
      <c r="R70" s="32">
        <f t="shared" si="17"/>
        <v>11195885</v>
      </c>
      <c r="S70" s="32">
        <f t="shared" si="18"/>
        <v>0</v>
      </c>
      <c r="T70" s="32">
        <f t="shared" si="10"/>
        <v>0</v>
      </c>
      <c r="U70" s="32">
        <f t="shared" ref="U70:AJ85" si="49">ROUND(U$2*$D70,0)</f>
        <v>0</v>
      </c>
      <c r="V70" s="32">
        <f t="shared" si="49"/>
        <v>0</v>
      </c>
      <c r="W70" s="32">
        <f t="shared" si="49"/>
        <v>0</v>
      </c>
      <c r="X70" s="32">
        <f t="shared" si="19"/>
        <v>0</v>
      </c>
      <c r="Y70" s="32"/>
      <c r="Z70" s="32">
        <f t="shared" si="49"/>
        <v>0</v>
      </c>
      <c r="AA70" s="32">
        <f t="shared" si="49"/>
        <v>0</v>
      </c>
      <c r="AB70" s="32">
        <f t="shared" si="49"/>
        <v>0</v>
      </c>
      <c r="AC70" s="32">
        <f t="shared" si="20"/>
        <v>0</v>
      </c>
      <c r="AD70" s="32"/>
      <c r="AE70" s="32">
        <f t="shared" si="49"/>
        <v>0</v>
      </c>
      <c r="AF70" s="32">
        <f t="shared" si="49"/>
        <v>0</v>
      </c>
      <c r="AG70" s="32">
        <f t="shared" si="49"/>
        <v>0</v>
      </c>
      <c r="AH70" s="32">
        <f t="shared" si="49"/>
        <v>0</v>
      </c>
      <c r="AI70" s="32">
        <f t="shared" si="49"/>
        <v>0</v>
      </c>
      <c r="AJ70" s="32">
        <f t="shared" si="48"/>
        <v>0</v>
      </c>
      <c r="AK70" s="7">
        <v>0</v>
      </c>
      <c r="AL70" s="32">
        <v>0</v>
      </c>
      <c r="AM70" s="32"/>
      <c r="AN70" s="4">
        <v>0</v>
      </c>
      <c r="AO70" s="32">
        <f t="shared" si="21"/>
        <v>0</v>
      </c>
      <c r="AP70" s="32">
        <f t="shared" si="22"/>
        <v>0</v>
      </c>
      <c r="AS70" s="32">
        <f t="shared" si="23"/>
        <v>0</v>
      </c>
      <c r="AT70" s="32">
        <f t="shared" si="13"/>
        <v>0</v>
      </c>
      <c r="AU70" s="32">
        <f t="shared" si="24"/>
        <v>0</v>
      </c>
      <c r="AV70" s="4">
        <f t="shared" si="25"/>
        <v>0</v>
      </c>
      <c r="AW70" s="32">
        <f t="shared" si="26"/>
        <v>0</v>
      </c>
      <c r="AX70" s="4">
        <f t="shared" si="27"/>
        <v>0</v>
      </c>
      <c r="AY70" s="32">
        <f t="shared" si="28"/>
        <v>0</v>
      </c>
      <c r="AZ70" s="4">
        <f t="shared" si="29"/>
        <v>0</v>
      </c>
      <c r="BA70" s="32">
        <f t="shared" si="30"/>
        <v>0</v>
      </c>
      <c r="BB70" s="32">
        <f t="shared" si="14"/>
        <v>0</v>
      </c>
      <c r="BC70" s="32">
        <f t="shared" si="31"/>
        <v>0</v>
      </c>
      <c r="BD70" s="32">
        <f t="shared" si="32"/>
        <v>0</v>
      </c>
      <c r="BF70" s="32">
        <f t="shared" si="33"/>
        <v>0</v>
      </c>
      <c r="BG70" s="32">
        <f t="shared" si="15"/>
        <v>0</v>
      </c>
      <c r="BH70" s="32">
        <f t="shared" si="34"/>
        <v>0</v>
      </c>
      <c r="BI70" s="4">
        <f t="shared" si="35"/>
        <v>0</v>
      </c>
      <c r="BJ70" s="32">
        <f t="shared" si="36"/>
        <v>0</v>
      </c>
      <c r="BK70" s="4">
        <f t="shared" si="37"/>
        <v>0</v>
      </c>
      <c r="BL70" s="32">
        <f t="shared" si="38"/>
        <v>0</v>
      </c>
      <c r="BM70" s="4">
        <f t="shared" si="39"/>
        <v>0</v>
      </c>
      <c r="BN70" s="32">
        <f t="shared" si="40"/>
        <v>0</v>
      </c>
      <c r="BO70" s="4">
        <f t="shared" si="41"/>
        <v>0</v>
      </c>
      <c r="BP70" s="32">
        <f t="shared" si="42"/>
        <v>0</v>
      </c>
      <c r="BQ70" s="32">
        <f t="shared" si="43"/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DO70" s="4">
        <v>0</v>
      </c>
      <c r="DP70" s="4">
        <v>0</v>
      </c>
      <c r="DQ70" s="4">
        <v>0</v>
      </c>
    </row>
    <row r="71" spans="1:121" x14ac:dyDescent="0.35">
      <c r="A71" s="84">
        <f>'2017 Prop share of contribs'!A67</f>
        <v>62</v>
      </c>
      <c r="B71" s="84" t="str">
        <f>'2017 Prop share of contribs'!B67</f>
        <v xml:space="preserve">LARUE COUNTY SCHOOLS  </v>
      </c>
      <c r="C71" s="25" t="s">
        <v>182</v>
      </c>
      <c r="D71" s="33">
        <f>ROUND('Employer Allocations'!G110,8)</f>
        <v>0</v>
      </c>
      <c r="E71" s="4">
        <f>ROUND('Employer Allocations'!H110,8)</f>
        <v>3.4318600000000001E-3</v>
      </c>
      <c r="F71" s="4">
        <f>ROUND('Employer Allocations'!I110,8)</f>
        <v>3.4318600000000001E-3</v>
      </c>
      <c r="G71" s="4">
        <v>0</v>
      </c>
      <c r="H71" s="4">
        <v>3.4484300000000002E-3</v>
      </c>
      <c r="I71" s="4">
        <v>3.4484300000000002E-3</v>
      </c>
      <c r="J71" s="7">
        <f t="shared" si="5"/>
        <v>0</v>
      </c>
      <c r="K71" s="7">
        <f t="shared" si="6"/>
        <v>92601000</v>
      </c>
      <c r="L71" s="7">
        <f t="shared" si="16"/>
        <v>92601000</v>
      </c>
      <c r="M71" s="7"/>
      <c r="N71" s="7">
        <f t="shared" si="7"/>
        <v>0</v>
      </c>
      <c r="O71" s="32">
        <f t="shared" si="8"/>
        <v>0</v>
      </c>
      <c r="P71" s="32"/>
      <c r="Q71" s="32">
        <f t="shared" si="9"/>
        <v>6591771</v>
      </c>
      <c r="R71" s="32">
        <f t="shared" si="17"/>
        <v>6591771</v>
      </c>
      <c r="S71" s="32">
        <f t="shared" si="18"/>
        <v>0</v>
      </c>
      <c r="T71" s="32">
        <f t="shared" si="10"/>
        <v>0</v>
      </c>
      <c r="U71" s="32">
        <f t="shared" si="49"/>
        <v>0</v>
      </c>
      <c r="V71" s="32">
        <f t="shared" si="49"/>
        <v>0</v>
      </c>
      <c r="W71" s="32">
        <f t="shared" si="49"/>
        <v>0</v>
      </c>
      <c r="X71" s="32">
        <f t="shared" si="19"/>
        <v>0</v>
      </c>
      <c r="Y71" s="32"/>
      <c r="Z71" s="32">
        <f t="shared" si="49"/>
        <v>0</v>
      </c>
      <c r="AA71" s="32">
        <f t="shared" si="49"/>
        <v>0</v>
      </c>
      <c r="AB71" s="32">
        <f t="shared" si="49"/>
        <v>0</v>
      </c>
      <c r="AC71" s="32">
        <f t="shared" si="20"/>
        <v>0</v>
      </c>
      <c r="AD71" s="32"/>
      <c r="AE71" s="32">
        <f t="shared" si="49"/>
        <v>0</v>
      </c>
      <c r="AF71" s="32">
        <f t="shared" si="49"/>
        <v>0</v>
      </c>
      <c r="AG71" s="32">
        <f t="shared" si="49"/>
        <v>0</v>
      </c>
      <c r="AH71" s="32">
        <f t="shared" si="49"/>
        <v>0</v>
      </c>
      <c r="AI71" s="32">
        <f t="shared" si="49"/>
        <v>0</v>
      </c>
      <c r="AJ71" s="32">
        <f t="shared" si="48"/>
        <v>0</v>
      </c>
      <c r="AK71" s="7">
        <v>0</v>
      </c>
      <c r="AL71" s="32">
        <v>0</v>
      </c>
      <c r="AM71" s="32"/>
      <c r="AN71" s="4">
        <v>0</v>
      </c>
      <c r="AO71" s="32">
        <f t="shared" si="21"/>
        <v>0</v>
      </c>
      <c r="AP71" s="32">
        <f t="shared" si="22"/>
        <v>0</v>
      </c>
      <c r="AS71" s="32">
        <f t="shared" si="23"/>
        <v>0</v>
      </c>
      <c r="AT71" s="32">
        <f t="shared" si="13"/>
        <v>0</v>
      </c>
      <c r="AU71" s="32">
        <f t="shared" si="24"/>
        <v>0</v>
      </c>
      <c r="AV71" s="4">
        <f t="shared" si="25"/>
        <v>0</v>
      </c>
      <c r="AW71" s="32">
        <f t="shared" si="26"/>
        <v>0</v>
      </c>
      <c r="AX71" s="4">
        <f t="shared" si="27"/>
        <v>0</v>
      </c>
      <c r="AY71" s="32">
        <f t="shared" si="28"/>
        <v>0</v>
      </c>
      <c r="AZ71" s="4">
        <f t="shared" si="29"/>
        <v>0</v>
      </c>
      <c r="BA71" s="32">
        <f t="shared" si="30"/>
        <v>0</v>
      </c>
      <c r="BB71" s="32">
        <f t="shared" si="14"/>
        <v>0</v>
      </c>
      <c r="BC71" s="32">
        <f t="shared" si="31"/>
        <v>0</v>
      </c>
      <c r="BD71" s="32">
        <f t="shared" si="32"/>
        <v>0</v>
      </c>
      <c r="BF71" s="32">
        <f t="shared" si="33"/>
        <v>0</v>
      </c>
      <c r="BG71" s="32">
        <f t="shared" si="15"/>
        <v>0</v>
      </c>
      <c r="BH71" s="32">
        <f t="shared" si="34"/>
        <v>0</v>
      </c>
      <c r="BI71" s="4">
        <f t="shared" si="35"/>
        <v>0</v>
      </c>
      <c r="BJ71" s="32">
        <f t="shared" si="36"/>
        <v>0</v>
      </c>
      <c r="BK71" s="4">
        <f t="shared" si="37"/>
        <v>0</v>
      </c>
      <c r="BL71" s="32">
        <f t="shared" si="38"/>
        <v>0</v>
      </c>
      <c r="BM71" s="4">
        <f t="shared" si="39"/>
        <v>0</v>
      </c>
      <c r="BN71" s="32">
        <f t="shared" si="40"/>
        <v>0</v>
      </c>
      <c r="BO71" s="4">
        <f t="shared" si="41"/>
        <v>0</v>
      </c>
      <c r="BP71" s="32">
        <f t="shared" si="42"/>
        <v>0</v>
      </c>
      <c r="BQ71" s="32">
        <f t="shared" si="43"/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N71" s="4">
        <v>0</v>
      </c>
      <c r="DO71" s="4">
        <v>0</v>
      </c>
      <c r="DP71" s="4">
        <v>0</v>
      </c>
      <c r="DQ71" s="4">
        <v>0</v>
      </c>
    </row>
    <row r="72" spans="1:121" x14ac:dyDescent="0.35">
      <c r="A72" s="84">
        <f>'2017 Prop share of contribs'!A68</f>
        <v>63</v>
      </c>
      <c r="B72" s="84" t="str">
        <f>'2017 Prop share of contribs'!B68</f>
        <v xml:space="preserve">LAUREL COUNTY SCHOOLS  </v>
      </c>
      <c r="C72" s="25" t="s">
        <v>183</v>
      </c>
      <c r="D72" s="33">
        <f>ROUND('Employer Allocations'!G111,8)</f>
        <v>0</v>
      </c>
      <c r="E72" s="4">
        <f>ROUND('Employer Allocations'!H111,8)</f>
        <v>1.144504E-2</v>
      </c>
      <c r="F72" s="4">
        <f>ROUND('Employer Allocations'!I111,8)</f>
        <v>1.144504E-2</v>
      </c>
      <c r="G72" s="4">
        <v>0</v>
      </c>
      <c r="H72" s="4">
        <v>1.159017E-2</v>
      </c>
      <c r="I72" s="4">
        <v>1.159017E-2</v>
      </c>
      <c r="J72" s="7">
        <f t="shared" si="5"/>
        <v>0</v>
      </c>
      <c r="K72" s="7">
        <f t="shared" si="6"/>
        <v>308818587</v>
      </c>
      <c r="L72" s="7">
        <f t="shared" si="16"/>
        <v>308818587</v>
      </c>
      <c r="M72" s="7"/>
      <c r="N72" s="7">
        <f t="shared" si="7"/>
        <v>0</v>
      </c>
      <c r="O72" s="32">
        <f t="shared" si="8"/>
        <v>0</v>
      </c>
      <c r="P72" s="32"/>
      <c r="Q72" s="32">
        <f t="shared" si="9"/>
        <v>21983148</v>
      </c>
      <c r="R72" s="32">
        <f t="shared" si="17"/>
        <v>21983148</v>
      </c>
      <c r="S72" s="32">
        <f t="shared" si="18"/>
        <v>0</v>
      </c>
      <c r="T72" s="32">
        <f t="shared" si="10"/>
        <v>0</v>
      </c>
      <c r="U72" s="32">
        <f t="shared" si="49"/>
        <v>0</v>
      </c>
      <c r="V72" s="32">
        <f t="shared" si="49"/>
        <v>0</v>
      </c>
      <c r="W72" s="32">
        <f t="shared" si="49"/>
        <v>0</v>
      </c>
      <c r="X72" s="32">
        <f t="shared" si="19"/>
        <v>0</v>
      </c>
      <c r="Y72" s="32"/>
      <c r="Z72" s="32">
        <f t="shared" si="49"/>
        <v>0</v>
      </c>
      <c r="AA72" s="32">
        <f t="shared" si="49"/>
        <v>0</v>
      </c>
      <c r="AB72" s="32">
        <f t="shared" si="49"/>
        <v>0</v>
      </c>
      <c r="AC72" s="32">
        <f t="shared" si="20"/>
        <v>0</v>
      </c>
      <c r="AD72" s="32"/>
      <c r="AE72" s="32">
        <f t="shared" si="49"/>
        <v>0</v>
      </c>
      <c r="AF72" s="32">
        <f t="shared" si="49"/>
        <v>0</v>
      </c>
      <c r="AG72" s="32">
        <f t="shared" si="49"/>
        <v>0</v>
      </c>
      <c r="AH72" s="32">
        <f t="shared" si="49"/>
        <v>0</v>
      </c>
      <c r="AI72" s="32">
        <f t="shared" si="49"/>
        <v>0</v>
      </c>
      <c r="AJ72" s="32">
        <f t="shared" si="48"/>
        <v>0</v>
      </c>
      <c r="AK72" s="7">
        <v>0</v>
      </c>
      <c r="AL72" s="32">
        <v>0</v>
      </c>
      <c r="AM72" s="32"/>
      <c r="AN72" s="4">
        <v>0</v>
      </c>
      <c r="AO72" s="32">
        <f t="shared" si="21"/>
        <v>0</v>
      </c>
      <c r="AP72" s="32">
        <f t="shared" si="22"/>
        <v>0</v>
      </c>
      <c r="AS72" s="32">
        <f t="shared" si="23"/>
        <v>0</v>
      </c>
      <c r="AT72" s="32">
        <f t="shared" si="13"/>
        <v>0</v>
      </c>
      <c r="AU72" s="32">
        <f t="shared" si="24"/>
        <v>0</v>
      </c>
      <c r="AV72" s="4">
        <f t="shared" si="25"/>
        <v>0</v>
      </c>
      <c r="AW72" s="32">
        <f t="shared" si="26"/>
        <v>0</v>
      </c>
      <c r="AX72" s="4">
        <f t="shared" si="27"/>
        <v>0</v>
      </c>
      <c r="AY72" s="32">
        <f t="shared" si="28"/>
        <v>0</v>
      </c>
      <c r="AZ72" s="4">
        <f t="shared" si="29"/>
        <v>0</v>
      </c>
      <c r="BA72" s="32">
        <f t="shared" si="30"/>
        <v>0</v>
      </c>
      <c r="BB72" s="32">
        <f t="shared" si="14"/>
        <v>0</v>
      </c>
      <c r="BC72" s="32">
        <f t="shared" si="31"/>
        <v>0</v>
      </c>
      <c r="BD72" s="32">
        <f t="shared" si="32"/>
        <v>0</v>
      </c>
      <c r="BF72" s="32">
        <f t="shared" si="33"/>
        <v>0</v>
      </c>
      <c r="BG72" s="32">
        <f t="shared" si="15"/>
        <v>0</v>
      </c>
      <c r="BH72" s="32">
        <f t="shared" si="34"/>
        <v>0</v>
      </c>
      <c r="BI72" s="4">
        <f t="shared" si="35"/>
        <v>0</v>
      </c>
      <c r="BJ72" s="32">
        <f t="shared" si="36"/>
        <v>0</v>
      </c>
      <c r="BK72" s="4">
        <f t="shared" si="37"/>
        <v>0</v>
      </c>
      <c r="BL72" s="32">
        <f t="shared" si="38"/>
        <v>0</v>
      </c>
      <c r="BM72" s="4">
        <f t="shared" si="39"/>
        <v>0</v>
      </c>
      <c r="BN72" s="32">
        <f t="shared" si="40"/>
        <v>0</v>
      </c>
      <c r="BO72" s="4">
        <f t="shared" si="41"/>
        <v>0</v>
      </c>
      <c r="BP72" s="32">
        <f t="shared" si="42"/>
        <v>0</v>
      </c>
      <c r="BQ72" s="32">
        <f t="shared" si="43"/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N72" s="4">
        <v>0</v>
      </c>
      <c r="DO72" s="4">
        <v>0</v>
      </c>
      <c r="DP72" s="4">
        <v>0</v>
      </c>
      <c r="DQ72" s="4">
        <v>0</v>
      </c>
    </row>
    <row r="73" spans="1:121" x14ac:dyDescent="0.35">
      <c r="A73" s="84">
        <f>'2017 Prop share of contribs'!A69</f>
        <v>64</v>
      </c>
      <c r="B73" s="84" t="str">
        <f>'2017 Prop share of contribs'!B69</f>
        <v xml:space="preserve">LAWRENCE COUNTY SCHOOLS  </v>
      </c>
      <c r="C73" s="25" t="s">
        <v>184</v>
      </c>
      <c r="D73" s="33">
        <f>ROUND('Employer Allocations'!G112,8)</f>
        <v>0</v>
      </c>
      <c r="E73" s="4">
        <f>ROUND('Employer Allocations'!H112,8)</f>
        <v>3.4055399999999999E-3</v>
      </c>
      <c r="F73" s="4">
        <f>ROUND('Employer Allocations'!I112,8)</f>
        <v>3.4055399999999999E-3</v>
      </c>
      <c r="G73" s="4">
        <v>0</v>
      </c>
      <c r="H73" s="4">
        <v>3.34345E-3</v>
      </c>
      <c r="I73" s="4">
        <v>3.34345E-3</v>
      </c>
      <c r="J73" s="7">
        <f t="shared" si="5"/>
        <v>0</v>
      </c>
      <c r="K73" s="7">
        <f t="shared" si="6"/>
        <v>91890815</v>
      </c>
      <c r="L73" s="7">
        <f t="shared" si="16"/>
        <v>91890815</v>
      </c>
      <c r="M73" s="7"/>
      <c r="N73" s="7">
        <f t="shared" si="7"/>
        <v>0</v>
      </c>
      <c r="O73" s="32">
        <f t="shared" si="8"/>
        <v>0</v>
      </c>
      <c r="P73" s="32"/>
      <c r="Q73" s="32">
        <f t="shared" si="9"/>
        <v>6541217</v>
      </c>
      <c r="R73" s="32">
        <f t="shared" si="17"/>
        <v>6541217</v>
      </c>
      <c r="S73" s="32">
        <f t="shared" si="18"/>
        <v>0</v>
      </c>
      <c r="T73" s="32">
        <f t="shared" si="10"/>
        <v>0</v>
      </c>
      <c r="U73" s="32">
        <f t="shared" si="49"/>
        <v>0</v>
      </c>
      <c r="V73" s="32">
        <f t="shared" si="49"/>
        <v>0</v>
      </c>
      <c r="W73" s="32">
        <f t="shared" si="49"/>
        <v>0</v>
      </c>
      <c r="X73" s="32">
        <f t="shared" si="19"/>
        <v>0</v>
      </c>
      <c r="Y73" s="32"/>
      <c r="Z73" s="32">
        <f t="shared" si="49"/>
        <v>0</v>
      </c>
      <c r="AA73" s="32">
        <f t="shared" si="49"/>
        <v>0</v>
      </c>
      <c r="AB73" s="32">
        <f t="shared" si="49"/>
        <v>0</v>
      </c>
      <c r="AC73" s="32">
        <f t="shared" si="20"/>
        <v>0</v>
      </c>
      <c r="AD73" s="32"/>
      <c r="AE73" s="32">
        <f t="shared" si="49"/>
        <v>0</v>
      </c>
      <c r="AF73" s="32">
        <f t="shared" si="49"/>
        <v>0</v>
      </c>
      <c r="AG73" s="32">
        <f t="shared" si="49"/>
        <v>0</v>
      </c>
      <c r="AH73" s="32">
        <f t="shared" si="49"/>
        <v>0</v>
      </c>
      <c r="AI73" s="32">
        <f t="shared" si="49"/>
        <v>0</v>
      </c>
      <c r="AJ73" s="32">
        <f t="shared" si="48"/>
        <v>0</v>
      </c>
      <c r="AK73" s="7">
        <v>0</v>
      </c>
      <c r="AL73" s="32">
        <v>0</v>
      </c>
      <c r="AM73" s="32"/>
      <c r="AN73" s="4">
        <v>0</v>
      </c>
      <c r="AO73" s="32">
        <f t="shared" si="21"/>
        <v>0</v>
      </c>
      <c r="AP73" s="32">
        <f t="shared" si="22"/>
        <v>0</v>
      </c>
      <c r="AS73" s="32">
        <f t="shared" si="23"/>
        <v>0</v>
      </c>
      <c r="AT73" s="32">
        <f t="shared" si="13"/>
        <v>0</v>
      </c>
      <c r="AU73" s="32">
        <f t="shared" si="24"/>
        <v>0</v>
      </c>
      <c r="AV73" s="4">
        <f t="shared" si="25"/>
        <v>0</v>
      </c>
      <c r="AW73" s="32">
        <f t="shared" si="26"/>
        <v>0</v>
      </c>
      <c r="AX73" s="4">
        <f t="shared" si="27"/>
        <v>0</v>
      </c>
      <c r="AY73" s="32">
        <f t="shared" si="28"/>
        <v>0</v>
      </c>
      <c r="AZ73" s="4">
        <f t="shared" si="29"/>
        <v>0</v>
      </c>
      <c r="BA73" s="32">
        <f t="shared" si="30"/>
        <v>0</v>
      </c>
      <c r="BB73" s="32">
        <f t="shared" si="14"/>
        <v>0</v>
      </c>
      <c r="BC73" s="32">
        <f t="shared" si="31"/>
        <v>0</v>
      </c>
      <c r="BD73" s="32">
        <f t="shared" si="32"/>
        <v>0</v>
      </c>
      <c r="BF73" s="32">
        <f t="shared" si="33"/>
        <v>0</v>
      </c>
      <c r="BG73" s="32">
        <f t="shared" si="15"/>
        <v>0</v>
      </c>
      <c r="BH73" s="32">
        <f t="shared" si="34"/>
        <v>0</v>
      </c>
      <c r="BI73" s="4">
        <f t="shared" si="35"/>
        <v>0</v>
      </c>
      <c r="BJ73" s="32">
        <f t="shared" si="36"/>
        <v>0</v>
      </c>
      <c r="BK73" s="4">
        <f t="shared" si="37"/>
        <v>0</v>
      </c>
      <c r="BL73" s="32">
        <f t="shared" si="38"/>
        <v>0</v>
      </c>
      <c r="BM73" s="4">
        <f t="shared" si="39"/>
        <v>0</v>
      </c>
      <c r="BN73" s="32">
        <f t="shared" si="40"/>
        <v>0</v>
      </c>
      <c r="BO73" s="4">
        <f t="shared" si="41"/>
        <v>0</v>
      </c>
      <c r="BP73" s="32">
        <f t="shared" si="42"/>
        <v>0</v>
      </c>
      <c r="BQ73" s="32">
        <f t="shared" si="43"/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  <c r="DO73" s="4">
        <v>0</v>
      </c>
      <c r="DP73" s="4">
        <v>0</v>
      </c>
      <c r="DQ73" s="4">
        <v>0</v>
      </c>
    </row>
    <row r="74" spans="1:121" x14ac:dyDescent="0.35">
      <c r="A74" s="84">
        <f>'2017 Prop share of contribs'!A70</f>
        <v>65</v>
      </c>
      <c r="B74" s="84" t="str">
        <f>'2017 Prop share of contribs'!B70</f>
        <v xml:space="preserve">LEE COUNTY SCHOOLS  </v>
      </c>
      <c r="C74" s="25" t="s">
        <v>185</v>
      </c>
      <c r="D74" s="33">
        <f>ROUND('Employer Allocations'!G113,8)</f>
        <v>0</v>
      </c>
      <c r="E74" s="4">
        <f>ROUND('Employer Allocations'!H113,8)</f>
        <v>1.0457999999999999E-3</v>
      </c>
      <c r="F74" s="4">
        <f>ROUND('Employer Allocations'!I113,8)</f>
        <v>1.0457999999999999E-3</v>
      </c>
      <c r="G74" s="4">
        <v>0</v>
      </c>
      <c r="H74" s="4">
        <v>1.12393E-3</v>
      </c>
      <c r="I74" s="4">
        <v>1.12393E-3</v>
      </c>
      <c r="J74" s="7">
        <f t="shared" ref="J74:J137" si="50">ROUND($J$2*D74,0)</f>
        <v>0</v>
      </c>
      <c r="K74" s="7">
        <f t="shared" ref="K74:K137" si="51">ROUND($J$2*E74,0)</f>
        <v>28218554</v>
      </c>
      <c r="L74" s="7">
        <f t="shared" si="16"/>
        <v>28218554</v>
      </c>
      <c r="M74" s="7"/>
      <c r="N74" s="7">
        <f t="shared" ref="N74:N137" si="52">ROUND($N$2*D74,0)</f>
        <v>0</v>
      </c>
      <c r="O74" s="32">
        <f t="shared" ref="O74:O137" si="53">ROUND($O$2*D74,0)</f>
        <v>0</v>
      </c>
      <c r="P74" s="32"/>
      <c r="Q74" s="32">
        <f t="shared" ref="Q74:Q137" si="54">ROUND(Q$2*$F74,0)</f>
        <v>2008728</v>
      </c>
      <c r="R74" s="32">
        <f t="shared" si="17"/>
        <v>2008728</v>
      </c>
      <c r="S74" s="32">
        <f t="shared" si="18"/>
        <v>0</v>
      </c>
      <c r="T74" s="32">
        <f t="shared" ref="T74:T137" si="55">S74+AT74-BG74+BV74-CI74</f>
        <v>0</v>
      </c>
      <c r="U74" s="32">
        <f t="shared" si="49"/>
        <v>0</v>
      </c>
      <c r="V74" s="32">
        <f t="shared" si="49"/>
        <v>0</v>
      </c>
      <c r="W74" s="32">
        <f t="shared" si="49"/>
        <v>0</v>
      </c>
      <c r="X74" s="32">
        <f t="shared" si="19"/>
        <v>0</v>
      </c>
      <c r="Y74" s="32"/>
      <c r="Z74" s="32">
        <f t="shared" si="49"/>
        <v>0</v>
      </c>
      <c r="AA74" s="32">
        <f t="shared" si="49"/>
        <v>0</v>
      </c>
      <c r="AB74" s="32">
        <f t="shared" si="49"/>
        <v>0</v>
      </c>
      <c r="AC74" s="32">
        <f t="shared" si="20"/>
        <v>0</v>
      </c>
      <c r="AD74" s="32"/>
      <c r="AE74" s="32">
        <f t="shared" si="49"/>
        <v>0</v>
      </c>
      <c r="AF74" s="32">
        <f t="shared" si="49"/>
        <v>0</v>
      </c>
      <c r="AG74" s="32">
        <f t="shared" si="49"/>
        <v>0</v>
      </c>
      <c r="AH74" s="32">
        <f t="shared" si="49"/>
        <v>0</v>
      </c>
      <c r="AI74" s="32">
        <f t="shared" si="49"/>
        <v>0</v>
      </c>
      <c r="AJ74" s="32">
        <f t="shared" si="48"/>
        <v>0</v>
      </c>
      <c r="AK74" s="7">
        <v>0</v>
      </c>
      <c r="AL74" s="32">
        <v>0</v>
      </c>
      <c r="AM74" s="32"/>
      <c r="AN74" s="4">
        <v>0</v>
      </c>
      <c r="AO74" s="32">
        <f t="shared" si="21"/>
        <v>0</v>
      </c>
      <c r="AP74" s="32">
        <f t="shared" si="22"/>
        <v>0</v>
      </c>
      <c r="AS74" s="32">
        <f t="shared" si="23"/>
        <v>0</v>
      </c>
      <c r="AT74" s="32">
        <f t="shared" ref="AT74:AT137" si="56">ROUND(AS74/$K$2,0)</f>
        <v>0</v>
      </c>
      <c r="AU74" s="32">
        <f t="shared" si="24"/>
        <v>0</v>
      </c>
      <c r="AV74" s="4">
        <f t="shared" si="25"/>
        <v>0</v>
      </c>
      <c r="AW74" s="32">
        <f t="shared" si="26"/>
        <v>0</v>
      </c>
      <c r="AX74" s="4">
        <f t="shared" si="27"/>
        <v>0</v>
      </c>
      <c r="AY74" s="32">
        <f t="shared" si="28"/>
        <v>0</v>
      </c>
      <c r="AZ74" s="4">
        <f t="shared" si="29"/>
        <v>0</v>
      </c>
      <c r="BA74" s="32">
        <f t="shared" si="30"/>
        <v>0</v>
      </c>
      <c r="BB74" s="32">
        <f t="shared" ref="BB74:BB137" si="57">BA74</f>
        <v>0</v>
      </c>
      <c r="BC74" s="32">
        <f t="shared" si="31"/>
        <v>0</v>
      </c>
      <c r="BD74" s="32">
        <f t="shared" si="32"/>
        <v>0</v>
      </c>
      <c r="BF74" s="32">
        <f t="shared" si="33"/>
        <v>0</v>
      </c>
      <c r="BG74" s="32">
        <f t="shared" ref="BG74:BG137" si="58">ROUND(BF74/$K$2,0)</f>
        <v>0</v>
      </c>
      <c r="BH74" s="32">
        <f t="shared" si="34"/>
        <v>0</v>
      </c>
      <c r="BI74" s="4">
        <f t="shared" si="35"/>
        <v>0</v>
      </c>
      <c r="BJ74" s="32">
        <f t="shared" si="36"/>
        <v>0</v>
      </c>
      <c r="BK74" s="4">
        <f t="shared" si="37"/>
        <v>0</v>
      </c>
      <c r="BL74" s="32">
        <f t="shared" si="38"/>
        <v>0</v>
      </c>
      <c r="BM74" s="4">
        <f t="shared" si="39"/>
        <v>0</v>
      </c>
      <c r="BN74" s="32">
        <f t="shared" si="40"/>
        <v>0</v>
      </c>
      <c r="BO74" s="4">
        <f t="shared" si="41"/>
        <v>0</v>
      </c>
      <c r="BP74" s="32">
        <f t="shared" si="42"/>
        <v>0</v>
      </c>
      <c r="BQ74" s="32">
        <f t="shared" si="43"/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4">
        <v>0</v>
      </c>
      <c r="DP74" s="4">
        <v>0</v>
      </c>
      <c r="DQ74" s="4">
        <v>0</v>
      </c>
    </row>
    <row r="75" spans="1:121" x14ac:dyDescent="0.35">
      <c r="A75" s="84">
        <f>'2017 Prop share of contribs'!A71</f>
        <v>66</v>
      </c>
      <c r="B75" s="84" t="str">
        <f>'2017 Prop share of contribs'!B71</f>
        <v xml:space="preserve">LESLIE COUNTY SCHOOLS  </v>
      </c>
      <c r="C75" s="25" t="s">
        <v>186</v>
      </c>
      <c r="D75" s="33">
        <f>ROUND('Employer Allocations'!G114,8)</f>
        <v>0</v>
      </c>
      <c r="E75" s="4">
        <f>ROUND('Employer Allocations'!H114,8)</f>
        <v>2.31803E-3</v>
      </c>
      <c r="F75" s="4">
        <f>ROUND('Employer Allocations'!I114,8)</f>
        <v>2.31803E-3</v>
      </c>
      <c r="G75" s="4">
        <v>0</v>
      </c>
      <c r="H75" s="4">
        <v>2.3456599999999998E-3</v>
      </c>
      <c r="I75" s="4">
        <v>2.3456599999999998E-3</v>
      </c>
      <c r="J75" s="7">
        <f t="shared" si="50"/>
        <v>0</v>
      </c>
      <c r="K75" s="7">
        <f t="shared" si="51"/>
        <v>62546811</v>
      </c>
      <c r="L75" s="7">
        <f t="shared" ref="L75:L138" si="59">J75+K75</f>
        <v>62546811</v>
      </c>
      <c r="M75" s="7"/>
      <c r="N75" s="7">
        <f t="shared" si="52"/>
        <v>0</v>
      </c>
      <c r="O75" s="32">
        <f t="shared" si="53"/>
        <v>0</v>
      </c>
      <c r="P75" s="32"/>
      <c r="Q75" s="32">
        <f t="shared" si="54"/>
        <v>4452374</v>
      </c>
      <c r="R75" s="32">
        <f t="shared" ref="R75:R138" si="60">ROUND(Q$2*$E75,0)</f>
        <v>4452374</v>
      </c>
      <c r="S75" s="32">
        <f t="shared" ref="S75:S138" si="61">Q75-R75</f>
        <v>0</v>
      </c>
      <c r="T75" s="32">
        <f t="shared" si="55"/>
        <v>0</v>
      </c>
      <c r="U75" s="32">
        <f t="shared" si="49"/>
        <v>0</v>
      </c>
      <c r="V75" s="32">
        <f t="shared" si="49"/>
        <v>0</v>
      </c>
      <c r="W75" s="32">
        <f t="shared" si="49"/>
        <v>0</v>
      </c>
      <c r="X75" s="32">
        <f t="shared" ref="X75:X138" si="62">AU75+BW75</f>
        <v>0</v>
      </c>
      <c r="Y75" s="32"/>
      <c r="Z75" s="32">
        <f t="shared" si="49"/>
        <v>0</v>
      </c>
      <c r="AA75" s="32">
        <f t="shared" si="49"/>
        <v>0</v>
      </c>
      <c r="AB75" s="32">
        <f t="shared" si="49"/>
        <v>0</v>
      </c>
      <c r="AC75" s="32">
        <f t="shared" ref="AC75:AC138" si="63">BH75+CJ75</f>
        <v>0</v>
      </c>
      <c r="AD75" s="32"/>
      <c r="AE75" s="32">
        <f t="shared" si="49"/>
        <v>0</v>
      </c>
      <c r="AF75" s="32">
        <f t="shared" si="49"/>
        <v>0</v>
      </c>
      <c r="AG75" s="32">
        <f t="shared" si="49"/>
        <v>0</v>
      </c>
      <c r="AH75" s="32">
        <f t="shared" si="49"/>
        <v>0</v>
      </c>
      <c r="AI75" s="32">
        <f t="shared" si="49"/>
        <v>0</v>
      </c>
      <c r="AJ75" s="32">
        <f t="shared" si="48"/>
        <v>0</v>
      </c>
      <c r="AK75" s="7">
        <v>0</v>
      </c>
      <c r="AL75" s="32">
        <v>0</v>
      </c>
      <c r="AM75" s="32"/>
      <c r="AN75" s="4">
        <v>0</v>
      </c>
      <c r="AO75" s="32">
        <f t="shared" ref="AO75:AO138" si="64">AK75+T75+Y75-AD75-AN75-AL75+AM75</f>
        <v>0</v>
      </c>
      <c r="AP75" s="32">
        <f t="shared" ref="AP75:AP138" si="65">J75-AO75</f>
        <v>0</v>
      </c>
      <c r="AS75" s="32">
        <f t="shared" ref="AS75:AS138" si="66">ROUND((IF(D75&gt;G75,D75-G75,0))*(AK$2-AL$2+AM$2),0)</f>
        <v>0</v>
      </c>
      <c r="AT75" s="32">
        <f t="shared" si="56"/>
        <v>0</v>
      </c>
      <c r="AU75" s="32">
        <f t="shared" ref="AU75:AU138" si="67">AS75-AT75</f>
        <v>0</v>
      </c>
      <c r="AV75" s="4">
        <f t="shared" ref="AV75:AV138" si="68">AT75</f>
        <v>0</v>
      </c>
      <c r="AW75" s="32">
        <f t="shared" ref="AW75:AW138" si="69">AU75-AV75</f>
        <v>0</v>
      </c>
      <c r="AX75" s="4">
        <f t="shared" ref="AX75:AX138" si="70">AV75</f>
        <v>0</v>
      </c>
      <c r="AY75" s="32">
        <f t="shared" ref="AY75:AY138" si="71">AW75-AX75</f>
        <v>0</v>
      </c>
      <c r="AZ75" s="4">
        <f t="shared" ref="AZ75:AZ138" si="72">AX75</f>
        <v>0</v>
      </c>
      <c r="BA75" s="32">
        <f t="shared" ref="BA75:BA138" si="73">AY75-AZ75</f>
        <v>0</v>
      </c>
      <c r="BB75" s="32">
        <f t="shared" si="57"/>
        <v>0</v>
      </c>
      <c r="BC75" s="32">
        <f t="shared" ref="BC75:BC138" si="74">BA75-BB75</f>
        <v>0</v>
      </c>
      <c r="BD75" s="32">
        <f t="shared" ref="BD75:BD138" si="75">BC75</f>
        <v>0</v>
      </c>
      <c r="BF75" s="32">
        <f t="shared" ref="BF75:BF138" si="76">ROUND((IF(D75&lt;G75,G75-D75,0))*(AK$2-AL$2+AM$2),0)</f>
        <v>0</v>
      </c>
      <c r="BG75" s="32">
        <f t="shared" si="58"/>
        <v>0</v>
      </c>
      <c r="BH75" s="32">
        <f t="shared" ref="BH75:BH138" si="77">BF75-BG75</f>
        <v>0</v>
      </c>
      <c r="BI75" s="4">
        <f t="shared" ref="BI75:BI138" si="78">BG75</f>
        <v>0</v>
      </c>
      <c r="BJ75" s="32">
        <f t="shared" ref="BJ75:BJ138" si="79">BH75-BI75</f>
        <v>0</v>
      </c>
      <c r="BK75" s="4">
        <f t="shared" ref="BK75:BK138" si="80">BI75</f>
        <v>0</v>
      </c>
      <c r="BL75" s="32">
        <f t="shared" ref="BL75:BL138" si="81">BJ75-BK75</f>
        <v>0</v>
      </c>
      <c r="BM75" s="4">
        <f t="shared" ref="BM75:BM138" si="82">BK75</f>
        <v>0</v>
      </c>
      <c r="BN75" s="32">
        <f t="shared" ref="BN75:BN138" si="83">BL75-BM75</f>
        <v>0</v>
      </c>
      <c r="BO75" s="4">
        <f t="shared" ref="BO75:BO138" si="84">BM75</f>
        <v>0</v>
      </c>
      <c r="BP75" s="32">
        <f t="shared" ref="BP75:BP138" si="85">BN75-BO75</f>
        <v>0</v>
      </c>
      <c r="BQ75" s="32">
        <f t="shared" ref="BQ75:BQ138" si="86">BP75</f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  <c r="DO75" s="4">
        <v>0</v>
      </c>
      <c r="DP75" s="4">
        <v>0</v>
      </c>
      <c r="DQ75" s="4">
        <v>0</v>
      </c>
    </row>
    <row r="76" spans="1:121" x14ac:dyDescent="0.35">
      <c r="A76" s="84">
        <f>'2017 Prop share of contribs'!A72</f>
        <v>67</v>
      </c>
      <c r="B76" s="84" t="str">
        <f>'2017 Prop share of contribs'!B72</f>
        <v xml:space="preserve">LETCHER COUNTY SCHOOLS  </v>
      </c>
      <c r="C76" s="25" t="s">
        <v>187</v>
      </c>
      <c r="D76" s="33">
        <f>ROUND('Employer Allocations'!G115,8)</f>
        <v>0</v>
      </c>
      <c r="E76" s="4">
        <f>ROUND('Employer Allocations'!H115,8)</f>
        <v>4.1998299999999999E-3</v>
      </c>
      <c r="F76" s="4">
        <f>ROUND('Employer Allocations'!I115,8)</f>
        <v>4.1998299999999999E-3</v>
      </c>
      <c r="G76" s="4">
        <v>0</v>
      </c>
      <c r="H76" s="4">
        <v>4.3696799999999999E-3</v>
      </c>
      <c r="I76" s="4">
        <v>4.3696799999999999E-3</v>
      </c>
      <c r="J76" s="7">
        <f t="shared" si="50"/>
        <v>0</v>
      </c>
      <c r="K76" s="7">
        <f t="shared" si="51"/>
        <v>113322939</v>
      </c>
      <c r="L76" s="7">
        <f t="shared" si="59"/>
        <v>113322939</v>
      </c>
      <c r="M76" s="7"/>
      <c r="N76" s="7">
        <f t="shared" si="52"/>
        <v>0</v>
      </c>
      <c r="O76" s="32">
        <f t="shared" si="53"/>
        <v>0</v>
      </c>
      <c r="P76" s="32"/>
      <c r="Q76" s="32">
        <f t="shared" si="54"/>
        <v>8066856</v>
      </c>
      <c r="R76" s="32">
        <f t="shared" si="60"/>
        <v>8066856</v>
      </c>
      <c r="S76" s="32">
        <f t="shared" si="61"/>
        <v>0</v>
      </c>
      <c r="T76" s="32">
        <f t="shared" si="55"/>
        <v>0</v>
      </c>
      <c r="U76" s="32">
        <f t="shared" si="49"/>
        <v>0</v>
      </c>
      <c r="V76" s="32">
        <f t="shared" si="49"/>
        <v>0</v>
      </c>
      <c r="W76" s="32">
        <f t="shared" si="49"/>
        <v>0</v>
      </c>
      <c r="X76" s="32">
        <f t="shared" si="62"/>
        <v>0</v>
      </c>
      <c r="Y76" s="32"/>
      <c r="Z76" s="32">
        <f t="shared" si="49"/>
        <v>0</v>
      </c>
      <c r="AA76" s="32">
        <f t="shared" si="49"/>
        <v>0</v>
      </c>
      <c r="AB76" s="32">
        <f t="shared" si="49"/>
        <v>0</v>
      </c>
      <c r="AC76" s="32">
        <f t="shared" si="63"/>
        <v>0</v>
      </c>
      <c r="AD76" s="32"/>
      <c r="AE76" s="32">
        <f t="shared" si="49"/>
        <v>0</v>
      </c>
      <c r="AF76" s="32">
        <f t="shared" si="49"/>
        <v>0</v>
      </c>
      <c r="AG76" s="32">
        <f t="shared" si="49"/>
        <v>0</v>
      </c>
      <c r="AH76" s="32">
        <f t="shared" si="49"/>
        <v>0</v>
      </c>
      <c r="AI76" s="32">
        <f t="shared" si="49"/>
        <v>0</v>
      </c>
      <c r="AJ76" s="32">
        <f t="shared" si="49"/>
        <v>0</v>
      </c>
      <c r="AK76" s="7">
        <v>0</v>
      </c>
      <c r="AL76" s="32">
        <v>0</v>
      </c>
      <c r="AM76" s="32"/>
      <c r="AN76" s="4">
        <v>0</v>
      </c>
      <c r="AO76" s="32">
        <f t="shared" si="64"/>
        <v>0</v>
      </c>
      <c r="AP76" s="32">
        <f t="shared" si="65"/>
        <v>0</v>
      </c>
      <c r="AS76" s="32">
        <f t="shared" si="66"/>
        <v>0</v>
      </c>
      <c r="AT76" s="32">
        <f t="shared" si="56"/>
        <v>0</v>
      </c>
      <c r="AU76" s="32">
        <f t="shared" si="67"/>
        <v>0</v>
      </c>
      <c r="AV76" s="4">
        <f t="shared" si="68"/>
        <v>0</v>
      </c>
      <c r="AW76" s="32">
        <f t="shared" si="69"/>
        <v>0</v>
      </c>
      <c r="AX76" s="4">
        <f t="shared" si="70"/>
        <v>0</v>
      </c>
      <c r="AY76" s="32">
        <f t="shared" si="71"/>
        <v>0</v>
      </c>
      <c r="AZ76" s="4">
        <f t="shared" si="72"/>
        <v>0</v>
      </c>
      <c r="BA76" s="32">
        <f t="shared" si="73"/>
        <v>0</v>
      </c>
      <c r="BB76" s="32">
        <f t="shared" si="57"/>
        <v>0</v>
      </c>
      <c r="BC76" s="32">
        <f t="shared" si="74"/>
        <v>0</v>
      </c>
      <c r="BD76" s="32">
        <f t="shared" si="75"/>
        <v>0</v>
      </c>
      <c r="BF76" s="32">
        <f t="shared" si="76"/>
        <v>0</v>
      </c>
      <c r="BG76" s="32">
        <f t="shared" si="58"/>
        <v>0</v>
      </c>
      <c r="BH76" s="32">
        <f t="shared" si="77"/>
        <v>0</v>
      </c>
      <c r="BI76" s="4">
        <f t="shared" si="78"/>
        <v>0</v>
      </c>
      <c r="BJ76" s="32">
        <f t="shared" si="79"/>
        <v>0</v>
      </c>
      <c r="BK76" s="4">
        <f t="shared" si="80"/>
        <v>0</v>
      </c>
      <c r="BL76" s="32">
        <f t="shared" si="81"/>
        <v>0</v>
      </c>
      <c r="BM76" s="4">
        <f t="shared" si="82"/>
        <v>0</v>
      </c>
      <c r="BN76" s="32">
        <f t="shared" si="83"/>
        <v>0</v>
      </c>
      <c r="BO76" s="4">
        <f t="shared" si="84"/>
        <v>0</v>
      </c>
      <c r="BP76" s="32">
        <f t="shared" si="85"/>
        <v>0</v>
      </c>
      <c r="BQ76" s="32">
        <f t="shared" si="86"/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  <c r="DO76" s="4">
        <v>0</v>
      </c>
      <c r="DP76" s="4">
        <v>0</v>
      </c>
      <c r="DQ76" s="4">
        <v>0</v>
      </c>
    </row>
    <row r="77" spans="1:121" x14ac:dyDescent="0.35">
      <c r="A77" s="84">
        <f>'2017 Prop share of contribs'!A73</f>
        <v>68</v>
      </c>
      <c r="B77" s="84" t="str">
        <f>'2017 Prop share of contribs'!B73</f>
        <v xml:space="preserve">LEWIS COUNTY SCHOOLS  </v>
      </c>
      <c r="C77" s="25" t="s">
        <v>188</v>
      </c>
      <c r="D77" s="33">
        <f>ROUND('Employer Allocations'!G116,8)</f>
        <v>0</v>
      </c>
      <c r="E77" s="4">
        <f>ROUND('Employer Allocations'!H116,8)</f>
        <v>2.7421699999999999E-3</v>
      </c>
      <c r="F77" s="4">
        <f>ROUND('Employer Allocations'!I116,8)</f>
        <v>2.7421699999999999E-3</v>
      </c>
      <c r="G77" s="4">
        <v>0</v>
      </c>
      <c r="H77" s="4">
        <v>2.9834499999999999E-3</v>
      </c>
      <c r="I77" s="4">
        <v>2.9834499999999999E-3</v>
      </c>
      <c r="J77" s="7">
        <f t="shared" si="50"/>
        <v>0</v>
      </c>
      <c r="K77" s="7">
        <f t="shared" si="51"/>
        <v>73991272</v>
      </c>
      <c r="L77" s="7">
        <f t="shared" si="59"/>
        <v>73991272</v>
      </c>
      <c r="M77" s="7"/>
      <c r="N77" s="7">
        <f t="shared" si="52"/>
        <v>0</v>
      </c>
      <c r="O77" s="32">
        <f t="shared" si="53"/>
        <v>0</v>
      </c>
      <c r="P77" s="32"/>
      <c r="Q77" s="32">
        <f t="shared" si="54"/>
        <v>5267044</v>
      </c>
      <c r="R77" s="32">
        <f t="shared" si="60"/>
        <v>5267044</v>
      </c>
      <c r="S77" s="32">
        <f t="shared" si="61"/>
        <v>0</v>
      </c>
      <c r="T77" s="32">
        <f t="shared" si="55"/>
        <v>0</v>
      </c>
      <c r="U77" s="32">
        <f t="shared" si="49"/>
        <v>0</v>
      </c>
      <c r="V77" s="32">
        <f t="shared" si="49"/>
        <v>0</v>
      </c>
      <c r="W77" s="32">
        <f t="shared" si="49"/>
        <v>0</v>
      </c>
      <c r="X77" s="32">
        <f t="shared" si="62"/>
        <v>0</v>
      </c>
      <c r="Y77" s="32"/>
      <c r="Z77" s="32">
        <f t="shared" si="49"/>
        <v>0</v>
      </c>
      <c r="AA77" s="32">
        <f t="shared" si="49"/>
        <v>0</v>
      </c>
      <c r="AB77" s="32">
        <f t="shared" si="49"/>
        <v>0</v>
      </c>
      <c r="AC77" s="32">
        <f t="shared" si="63"/>
        <v>0</v>
      </c>
      <c r="AD77" s="32"/>
      <c r="AE77" s="32">
        <f t="shared" si="49"/>
        <v>0</v>
      </c>
      <c r="AF77" s="32">
        <f t="shared" si="49"/>
        <v>0</v>
      </c>
      <c r="AG77" s="32">
        <f t="shared" si="49"/>
        <v>0</v>
      </c>
      <c r="AH77" s="32">
        <f t="shared" si="49"/>
        <v>0</v>
      </c>
      <c r="AI77" s="32">
        <f t="shared" si="49"/>
        <v>0</v>
      </c>
      <c r="AJ77" s="32">
        <f t="shared" si="49"/>
        <v>0</v>
      </c>
      <c r="AK77" s="7">
        <v>0</v>
      </c>
      <c r="AL77" s="32">
        <v>0</v>
      </c>
      <c r="AM77" s="32"/>
      <c r="AN77" s="4">
        <v>0</v>
      </c>
      <c r="AO77" s="32">
        <f t="shared" si="64"/>
        <v>0</v>
      </c>
      <c r="AP77" s="32">
        <f t="shared" si="65"/>
        <v>0</v>
      </c>
      <c r="AS77" s="32">
        <f t="shared" si="66"/>
        <v>0</v>
      </c>
      <c r="AT77" s="32">
        <f t="shared" si="56"/>
        <v>0</v>
      </c>
      <c r="AU77" s="32">
        <f t="shared" si="67"/>
        <v>0</v>
      </c>
      <c r="AV77" s="4">
        <f t="shared" si="68"/>
        <v>0</v>
      </c>
      <c r="AW77" s="32">
        <f t="shared" si="69"/>
        <v>0</v>
      </c>
      <c r="AX77" s="4">
        <f t="shared" si="70"/>
        <v>0</v>
      </c>
      <c r="AY77" s="32">
        <f t="shared" si="71"/>
        <v>0</v>
      </c>
      <c r="AZ77" s="4">
        <f t="shared" si="72"/>
        <v>0</v>
      </c>
      <c r="BA77" s="32">
        <f t="shared" si="73"/>
        <v>0</v>
      </c>
      <c r="BB77" s="32">
        <f t="shared" si="57"/>
        <v>0</v>
      </c>
      <c r="BC77" s="32">
        <f t="shared" si="74"/>
        <v>0</v>
      </c>
      <c r="BD77" s="32">
        <f t="shared" si="75"/>
        <v>0</v>
      </c>
      <c r="BF77" s="32">
        <f t="shared" si="76"/>
        <v>0</v>
      </c>
      <c r="BG77" s="32">
        <f t="shared" si="58"/>
        <v>0</v>
      </c>
      <c r="BH77" s="32">
        <f t="shared" si="77"/>
        <v>0</v>
      </c>
      <c r="BI77" s="4">
        <f t="shared" si="78"/>
        <v>0</v>
      </c>
      <c r="BJ77" s="32">
        <f t="shared" si="79"/>
        <v>0</v>
      </c>
      <c r="BK77" s="4">
        <f t="shared" si="80"/>
        <v>0</v>
      </c>
      <c r="BL77" s="32">
        <f t="shared" si="81"/>
        <v>0</v>
      </c>
      <c r="BM77" s="4">
        <f t="shared" si="82"/>
        <v>0</v>
      </c>
      <c r="BN77" s="32">
        <f t="shared" si="83"/>
        <v>0</v>
      </c>
      <c r="BO77" s="4">
        <f t="shared" si="84"/>
        <v>0</v>
      </c>
      <c r="BP77" s="32">
        <f t="shared" si="85"/>
        <v>0</v>
      </c>
      <c r="BQ77" s="32">
        <f t="shared" si="86"/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  <c r="DO77" s="4">
        <v>0</v>
      </c>
      <c r="DP77" s="4">
        <v>0</v>
      </c>
      <c r="DQ77" s="4">
        <v>0</v>
      </c>
    </row>
    <row r="78" spans="1:121" x14ac:dyDescent="0.35">
      <c r="A78" s="84">
        <f>'2017 Prop share of contribs'!A74</f>
        <v>69</v>
      </c>
      <c r="B78" s="84" t="str">
        <f>'2017 Prop share of contribs'!B74</f>
        <v xml:space="preserve">LINCOLN COUNTY SCHOOLS  </v>
      </c>
      <c r="C78" s="25" t="s">
        <v>189</v>
      </c>
      <c r="D78" s="33">
        <f>ROUND('Employer Allocations'!G117,8)</f>
        <v>0</v>
      </c>
      <c r="E78" s="4">
        <f>ROUND('Employer Allocations'!H117,8)</f>
        <v>4.7447399999999999E-3</v>
      </c>
      <c r="F78" s="4">
        <f>ROUND('Employer Allocations'!I117,8)</f>
        <v>4.7447399999999999E-3</v>
      </c>
      <c r="G78" s="4">
        <v>0</v>
      </c>
      <c r="H78" s="4">
        <v>4.91706E-3</v>
      </c>
      <c r="I78" s="4">
        <v>4.91706E-3</v>
      </c>
      <c r="J78" s="7">
        <f t="shared" si="50"/>
        <v>0</v>
      </c>
      <c r="K78" s="7">
        <f t="shared" si="51"/>
        <v>128026106</v>
      </c>
      <c r="L78" s="7">
        <f t="shared" si="59"/>
        <v>128026106</v>
      </c>
      <c r="M78" s="7"/>
      <c r="N78" s="7">
        <f t="shared" si="52"/>
        <v>0</v>
      </c>
      <c r="O78" s="32">
        <f t="shared" si="53"/>
        <v>0</v>
      </c>
      <c r="P78" s="32"/>
      <c r="Q78" s="32">
        <f t="shared" si="54"/>
        <v>9113496</v>
      </c>
      <c r="R78" s="32">
        <f t="shared" si="60"/>
        <v>9113496</v>
      </c>
      <c r="S78" s="32">
        <f t="shared" si="61"/>
        <v>0</v>
      </c>
      <c r="T78" s="32">
        <f t="shared" si="55"/>
        <v>0</v>
      </c>
      <c r="U78" s="32">
        <f t="shared" si="49"/>
        <v>0</v>
      </c>
      <c r="V78" s="32">
        <f t="shared" si="49"/>
        <v>0</v>
      </c>
      <c r="W78" s="32">
        <f t="shared" si="49"/>
        <v>0</v>
      </c>
      <c r="X78" s="32">
        <f t="shared" si="62"/>
        <v>0</v>
      </c>
      <c r="Y78" s="32"/>
      <c r="Z78" s="32">
        <f t="shared" si="49"/>
        <v>0</v>
      </c>
      <c r="AA78" s="32">
        <f t="shared" si="49"/>
        <v>0</v>
      </c>
      <c r="AB78" s="32">
        <f t="shared" si="49"/>
        <v>0</v>
      </c>
      <c r="AC78" s="32">
        <f t="shared" si="63"/>
        <v>0</v>
      </c>
      <c r="AD78" s="32"/>
      <c r="AE78" s="32">
        <f t="shared" si="49"/>
        <v>0</v>
      </c>
      <c r="AF78" s="32">
        <f t="shared" si="49"/>
        <v>0</v>
      </c>
      <c r="AG78" s="32">
        <f t="shared" si="49"/>
        <v>0</v>
      </c>
      <c r="AH78" s="32">
        <f t="shared" si="49"/>
        <v>0</v>
      </c>
      <c r="AI78" s="32">
        <f t="shared" si="49"/>
        <v>0</v>
      </c>
      <c r="AJ78" s="32">
        <f t="shared" si="49"/>
        <v>0</v>
      </c>
      <c r="AK78" s="7">
        <v>0</v>
      </c>
      <c r="AL78" s="32">
        <v>0</v>
      </c>
      <c r="AM78" s="32"/>
      <c r="AN78" s="4">
        <v>0</v>
      </c>
      <c r="AO78" s="32">
        <f t="shared" si="64"/>
        <v>0</v>
      </c>
      <c r="AP78" s="32">
        <f t="shared" si="65"/>
        <v>0</v>
      </c>
      <c r="AS78" s="32">
        <f t="shared" si="66"/>
        <v>0</v>
      </c>
      <c r="AT78" s="32">
        <f t="shared" si="56"/>
        <v>0</v>
      </c>
      <c r="AU78" s="32">
        <f t="shared" si="67"/>
        <v>0</v>
      </c>
      <c r="AV78" s="4">
        <f t="shared" si="68"/>
        <v>0</v>
      </c>
      <c r="AW78" s="32">
        <f t="shared" si="69"/>
        <v>0</v>
      </c>
      <c r="AX78" s="4">
        <f t="shared" si="70"/>
        <v>0</v>
      </c>
      <c r="AY78" s="32">
        <f t="shared" si="71"/>
        <v>0</v>
      </c>
      <c r="AZ78" s="4">
        <f t="shared" si="72"/>
        <v>0</v>
      </c>
      <c r="BA78" s="32">
        <f t="shared" si="73"/>
        <v>0</v>
      </c>
      <c r="BB78" s="32">
        <f t="shared" si="57"/>
        <v>0</v>
      </c>
      <c r="BC78" s="32">
        <f t="shared" si="74"/>
        <v>0</v>
      </c>
      <c r="BD78" s="32">
        <f t="shared" si="75"/>
        <v>0</v>
      </c>
      <c r="BF78" s="32">
        <f t="shared" si="76"/>
        <v>0</v>
      </c>
      <c r="BG78" s="32">
        <f t="shared" si="58"/>
        <v>0</v>
      </c>
      <c r="BH78" s="32">
        <f t="shared" si="77"/>
        <v>0</v>
      </c>
      <c r="BI78" s="4">
        <f t="shared" si="78"/>
        <v>0</v>
      </c>
      <c r="BJ78" s="32">
        <f t="shared" si="79"/>
        <v>0</v>
      </c>
      <c r="BK78" s="4">
        <f t="shared" si="80"/>
        <v>0</v>
      </c>
      <c r="BL78" s="32">
        <f t="shared" si="81"/>
        <v>0</v>
      </c>
      <c r="BM78" s="4">
        <f t="shared" si="82"/>
        <v>0</v>
      </c>
      <c r="BN78" s="32">
        <f t="shared" si="83"/>
        <v>0</v>
      </c>
      <c r="BO78" s="4">
        <f t="shared" si="84"/>
        <v>0</v>
      </c>
      <c r="BP78" s="32">
        <f t="shared" si="85"/>
        <v>0</v>
      </c>
      <c r="BQ78" s="32">
        <f t="shared" si="86"/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</row>
    <row r="79" spans="1:121" x14ac:dyDescent="0.35">
      <c r="A79" s="84">
        <f>'2017 Prop share of contribs'!A75</f>
        <v>70</v>
      </c>
      <c r="B79" s="84" t="str">
        <f>'2017 Prop share of contribs'!B75</f>
        <v xml:space="preserve">LIVINGSTON COUNTY SCHOOLS  </v>
      </c>
      <c r="C79" s="25" t="s">
        <v>190</v>
      </c>
      <c r="D79" s="33">
        <f>ROUND('Employer Allocations'!G118,8)</f>
        <v>0</v>
      </c>
      <c r="E79" s="4">
        <f>ROUND('Employer Allocations'!H118,8)</f>
        <v>1.7412899999999999E-3</v>
      </c>
      <c r="F79" s="4">
        <f>ROUND('Employer Allocations'!I118,8)</f>
        <v>1.7412899999999999E-3</v>
      </c>
      <c r="G79" s="4">
        <v>0</v>
      </c>
      <c r="H79" s="4">
        <v>1.8638999999999999E-3</v>
      </c>
      <c r="I79" s="4">
        <v>1.8638999999999999E-3</v>
      </c>
      <c r="J79" s="7">
        <f t="shared" si="50"/>
        <v>0</v>
      </c>
      <c r="K79" s="7">
        <f t="shared" si="51"/>
        <v>46984783</v>
      </c>
      <c r="L79" s="7">
        <f t="shared" si="59"/>
        <v>46984783</v>
      </c>
      <c r="M79" s="7"/>
      <c r="N79" s="7">
        <f t="shared" si="52"/>
        <v>0</v>
      </c>
      <c r="O79" s="32">
        <f t="shared" si="53"/>
        <v>0</v>
      </c>
      <c r="P79" s="32"/>
      <c r="Q79" s="32">
        <f t="shared" si="54"/>
        <v>3344596</v>
      </c>
      <c r="R79" s="32">
        <f t="shared" si="60"/>
        <v>3344596</v>
      </c>
      <c r="S79" s="32">
        <f t="shared" si="61"/>
        <v>0</v>
      </c>
      <c r="T79" s="32">
        <f t="shared" si="55"/>
        <v>0</v>
      </c>
      <c r="U79" s="32">
        <f t="shared" si="49"/>
        <v>0</v>
      </c>
      <c r="V79" s="32">
        <f t="shared" si="49"/>
        <v>0</v>
      </c>
      <c r="W79" s="32">
        <f t="shared" si="49"/>
        <v>0</v>
      </c>
      <c r="X79" s="32">
        <f t="shared" si="62"/>
        <v>0</v>
      </c>
      <c r="Y79" s="32"/>
      <c r="Z79" s="32">
        <f t="shared" si="49"/>
        <v>0</v>
      </c>
      <c r="AA79" s="32">
        <f t="shared" si="49"/>
        <v>0</v>
      </c>
      <c r="AB79" s="32">
        <f t="shared" si="49"/>
        <v>0</v>
      </c>
      <c r="AC79" s="32">
        <f t="shared" si="63"/>
        <v>0</v>
      </c>
      <c r="AD79" s="32"/>
      <c r="AE79" s="32">
        <f t="shared" si="49"/>
        <v>0</v>
      </c>
      <c r="AF79" s="32">
        <f t="shared" si="49"/>
        <v>0</v>
      </c>
      <c r="AG79" s="32">
        <f t="shared" si="49"/>
        <v>0</v>
      </c>
      <c r="AH79" s="32">
        <f t="shared" si="49"/>
        <v>0</v>
      </c>
      <c r="AI79" s="32">
        <f t="shared" si="49"/>
        <v>0</v>
      </c>
      <c r="AJ79" s="32">
        <f t="shared" si="49"/>
        <v>0</v>
      </c>
      <c r="AK79" s="7">
        <v>0</v>
      </c>
      <c r="AL79" s="32">
        <v>0</v>
      </c>
      <c r="AM79" s="32"/>
      <c r="AN79" s="4">
        <v>0</v>
      </c>
      <c r="AO79" s="32">
        <f t="shared" si="64"/>
        <v>0</v>
      </c>
      <c r="AP79" s="32">
        <f t="shared" si="65"/>
        <v>0</v>
      </c>
      <c r="AS79" s="32">
        <f t="shared" si="66"/>
        <v>0</v>
      </c>
      <c r="AT79" s="32">
        <f t="shared" si="56"/>
        <v>0</v>
      </c>
      <c r="AU79" s="32">
        <f t="shared" si="67"/>
        <v>0</v>
      </c>
      <c r="AV79" s="4">
        <f t="shared" si="68"/>
        <v>0</v>
      </c>
      <c r="AW79" s="32">
        <f t="shared" si="69"/>
        <v>0</v>
      </c>
      <c r="AX79" s="4">
        <f t="shared" si="70"/>
        <v>0</v>
      </c>
      <c r="AY79" s="32">
        <f t="shared" si="71"/>
        <v>0</v>
      </c>
      <c r="AZ79" s="4">
        <f t="shared" si="72"/>
        <v>0</v>
      </c>
      <c r="BA79" s="32">
        <f t="shared" si="73"/>
        <v>0</v>
      </c>
      <c r="BB79" s="32">
        <f t="shared" si="57"/>
        <v>0</v>
      </c>
      <c r="BC79" s="32">
        <f t="shared" si="74"/>
        <v>0</v>
      </c>
      <c r="BD79" s="32">
        <f t="shared" si="75"/>
        <v>0</v>
      </c>
      <c r="BF79" s="32">
        <f t="shared" si="76"/>
        <v>0</v>
      </c>
      <c r="BG79" s="32">
        <f t="shared" si="58"/>
        <v>0</v>
      </c>
      <c r="BH79" s="32">
        <f t="shared" si="77"/>
        <v>0</v>
      </c>
      <c r="BI79" s="4">
        <f t="shared" si="78"/>
        <v>0</v>
      </c>
      <c r="BJ79" s="32">
        <f t="shared" si="79"/>
        <v>0</v>
      </c>
      <c r="BK79" s="4">
        <f t="shared" si="80"/>
        <v>0</v>
      </c>
      <c r="BL79" s="32">
        <f t="shared" si="81"/>
        <v>0</v>
      </c>
      <c r="BM79" s="4">
        <f t="shared" si="82"/>
        <v>0</v>
      </c>
      <c r="BN79" s="32">
        <f t="shared" si="83"/>
        <v>0</v>
      </c>
      <c r="BO79" s="4">
        <f t="shared" si="84"/>
        <v>0</v>
      </c>
      <c r="BP79" s="32">
        <f t="shared" si="85"/>
        <v>0</v>
      </c>
      <c r="BQ79" s="32">
        <f t="shared" si="86"/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  <c r="DN79" s="4">
        <v>0</v>
      </c>
      <c r="DO79" s="4">
        <v>0</v>
      </c>
      <c r="DP79" s="4">
        <v>0</v>
      </c>
      <c r="DQ79" s="4">
        <v>0</v>
      </c>
    </row>
    <row r="80" spans="1:121" x14ac:dyDescent="0.35">
      <c r="A80" s="84">
        <f>'2017 Prop share of contribs'!A76</f>
        <v>71</v>
      </c>
      <c r="B80" s="84" t="str">
        <f>'2017 Prop share of contribs'!B76</f>
        <v xml:space="preserve">LOGAN COUNTY SCHOOLS  </v>
      </c>
      <c r="C80" s="25" t="s">
        <v>191</v>
      </c>
      <c r="D80" s="33">
        <f>ROUND('Employer Allocations'!G119,8)</f>
        <v>0</v>
      </c>
      <c r="E80" s="4">
        <f>ROUND('Employer Allocations'!H119,8)</f>
        <v>4.8571100000000004E-3</v>
      </c>
      <c r="F80" s="4">
        <f>ROUND('Employer Allocations'!I119,8)</f>
        <v>4.8571100000000004E-3</v>
      </c>
      <c r="G80" s="4">
        <v>0</v>
      </c>
      <c r="H80" s="4">
        <v>4.8561799999999999E-3</v>
      </c>
      <c r="I80" s="4">
        <v>4.8561799999999999E-3</v>
      </c>
      <c r="J80" s="7">
        <f t="shared" si="50"/>
        <v>0</v>
      </c>
      <c r="K80" s="7">
        <f t="shared" si="51"/>
        <v>131058157</v>
      </c>
      <c r="L80" s="7">
        <f t="shared" si="59"/>
        <v>131058157</v>
      </c>
      <c r="M80" s="7"/>
      <c r="N80" s="7">
        <f t="shared" si="52"/>
        <v>0</v>
      </c>
      <c r="O80" s="32">
        <f t="shared" si="53"/>
        <v>0</v>
      </c>
      <c r="P80" s="32"/>
      <c r="Q80" s="32">
        <f t="shared" si="54"/>
        <v>9329331</v>
      </c>
      <c r="R80" s="32">
        <f t="shared" si="60"/>
        <v>9329331</v>
      </c>
      <c r="S80" s="32">
        <f t="shared" si="61"/>
        <v>0</v>
      </c>
      <c r="T80" s="32">
        <f t="shared" si="55"/>
        <v>0</v>
      </c>
      <c r="U80" s="32">
        <f t="shared" ref="U80:AJ95" si="87">ROUND(U$2*$D80,0)</f>
        <v>0</v>
      </c>
      <c r="V80" s="32">
        <f t="shared" si="87"/>
        <v>0</v>
      </c>
      <c r="W80" s="32">
        <f t="shared" si="87"/>
        <v>0</v>
      </c>
      <c r="X80" s="32">
        <f t="shared" si="62"/>
        <v>0</v>
      </c>
      <c r="Y80" s="32"/>
      <c r="Z80" s="32">
        <f t="shared" si="87"/>
        <v>0</v>
      </c>
      <c r="AA80" s="32">
        <f t="shared" si="87"/>
        <v>0</v>
      </c>
      <c r="AB80" s="32">
        <f t="shared" si="87"/>
        <v>0</v>
      </c>
      <c r="AC80" s="32">
        <f t="shared" si="63"/>
        <v>0</v>
      </c>
      <c r="AD80" s="32"/>
      <c r="AE80" s="32">
        <f t="shared" si="87"/>
        <v>0</v>
      </c>
      <c r="AF80" s="32">
        <f t="shared" si="87"/>
        <v>0</v>
      </c>
      <c r="AG80" s="32">
        <f t="shared" si="87"/>
        <v>0</v>
      </c>
      <c r="AH80" s="32">
        <f t="shared" si="87"/>
        <v>0</v>
      </c>
      <c r="AI80" s="32">
        <f t="shared" si="87"/>
        <v>0</v>
      </c>
      <c r="AJ80" s="32">
        <f t="shared" si="49"/>
        <v>0</v>
      </c>
      <c r="AK80" s="7">
        <v>0</v>
      </c>
      <c r="AL80" s="32">
        <v>0</v>
      </c>
      <c r="AM80" s="32"/>
      <c r="AN80" s="4">
        <v>0</v>
      </c>
      <c r="AO80" s="32">
        <f t="shared" si="64"/>
        <v>0</v>
      </c>
      <c r="AP80" s="32">
        <f t="shared" si="65"/>
        <v>0</v>
      </c>
      <c r="AS80" s="32">
        <f t="shared" si="66"/>
        <v>0</v>
      </c>
      <c r="AT80" s="32">
        <f t="shared" si="56"/>
        <v>0</v>
      </c>
      <c r="AU80" s="32">
        <f t="shared" si="67"/>
        <v>0</v>
      </c>
      <c r="AV80" s="4">
        <f t="shared" si="68"/>
        <v>0</v>
      </c>
      <c r="AW80" s="32">
        <f t="shared" si="69"/>
        <v>0</v>
      </c>
      <c r="AX80" s="4">
        <f t="shared" si="70"/>
        <v>0</v>
      </c>
      <c r="AY80" s="32">
        <f t="shared" si="71"/>
        <v>0</v>
      </c>
      <c r="AZ80" s="4">
        <f t="shared" si="72"/>
        <v>0</v>
      </c>
      <c r="BA80" s="32">
        <f t="shared" si="73"/>
        <v>0</v>
      </c>
      <c r="BB80" s="32">
        <f t="shared" si="57"/>
        <v>0</v>
      </c>
      <c r="BC80" s="32">
        <f t="shared" si="74"/>
        <v>0</v>
      </c>
      <c r="BD80" s="32">
        <f t="shared" si="75"/>
        <v>0</v>
      </c>
      <c r="BF80" s="32">
        <f t="shared" si="76"/>
        <v>0</v>
      </c>
      <c r="BG80" s="32">
        <f t="shared" si="58"/>
        <v>0</v>
      </c>
      <c r="BH80" s="32">
        <f t="shared" si="77"/>
        <v>0</v>
      </c>
      <c r="BI80" s="4">
        <f t="shared" si="78"/>
        <v>0</v>
      </c>
      <c r="BJ80" s="32">
        <f t="shared" si="79"/>
        <v>0</v>
      </c>
      <c r="BK80" s="4">
        <f t="shared" si="80"/>
        <v>0</v>
      </c>
      <c r="BL80" s="32">
        <f t="shared" si="81"/>
        <v>0</v>
      </c>
      <c r="BM80" s="4">
        <f t="shared" si="82"/>
        <v>0</v>
      </c>
      <c r="BN80" s="32">
        <f t="shared" si="83"/>
        <v>0</v>
      </c>
      <c r="BO80" s="4">
        <f t="shared" si="84"/>
        <v>0</v>
      </c>
      <c r="BP80" s="32">
        <f t="shared" si="85"/>
        <v>0</v>
      </c>
      <c r="BQ80" s="32">
        <f t="shared" si="86"/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  <c r="DN80" s="4">
        <v>0</v>
      </c>
      <c r="DO80" s="4">
        <v>0</v>
      </c>
      <c r="DP80" s="4">
        <v>0</v>
      </c>
      <c r="DQ80" s="4">
        <v>0</v>
      </c>
    </row>
    <row r="81" spans="1:121" x14ac:dyDescent="0.35">
      <c r="A81" s="84">
        <f>'2017 Prop share of contribs'!A77</f>
        <v>72</v>
      </c>
      <c r="B81" s="84" t="str">
        <f>'2017 Prop share of contribs'!B77</f>
        <v xml:space="preserve">LYON COUNTY SCHOOLS  </v>
      </c>
      <c r="C81" s="25" t="s">
        <v>192</v>
      </c>
      <c r="D81" s="33">
        <f>ROUND('Employer Allocations'!G120,8)</f>
        <v>0</v>
      </c>
      <c r="E81" s="4">
        <f>ROUND('Employer Allocations'!H120,8)</f>
        <v>1.0928400000000001E-3</v>
      </c>
      <c r="F81" s="4">
        <f>ROUND('Employer Allocations'!I120,8)</f>
        <v>1.0928400000000001E-3</v>
      </c>
      <c r="G81" s="4">
        <v>0</v>
      </c>
      <c r="H81" s="4">
        <v>1.14208E-3</v>
      </c>
      <c r="I81" s="4">
        <v>1.14208E-3</v>
      </c>
      <c r="J81" s="7">
        <f t="shared" si="50"/>
        <v>0</v>
      </c>
      <c r="K81" s="7">
        <f t="shared" si="51"/>
        <v>29487822</v>
      </c>
      <c r="L81" s="7">
        <f t="shared" si="59"/>
        <v>29487822</v>
      </c>
      <c r="M81" s="7"/>
      <c r="N81" s="7">
        <f t="shared" si="52"/>
        <v>0</v>
      </c>
      <c r="O81" s="32">
        <f t="shared" si="53"/>
        <v>0</v>
      </c>
      <c r="P81" s="32"/>
      <c r="Q81" s="32">
        <f t="shared" si="54"/>
        <v>2099081</v>
      </c>
      <c r="R81" s="32">
        <f t="shared" si="60"/>
        <v>2099081</v>
      </c>
      <c r="S81" s="32">
        <f t="shared" si="61"/>
        <v>0</v>
      </c>
      <c r="T81" s="32">
        <f t="shared" si="55"/>
        <v>0</v>
      </c>
      <c r="U81" s="32">
        <f t="shared" si="87"/>
        <v>0</v>
      </c>
      <c r="V81" s="32">
        <f t="shared" si="87"/>
        <v>0</v>
      </c>
      <c r="W81" s="32">
        <f t="shared" si="87"/>
        <v>0</v>
      </c>
      <c r="X81" s="32">
        <f t="shared" si="62"/>
        <v>0</v>
      </c>
      <c r="Y81" s="32"/>
      <c r="Z81" s="32">
        <f t="shared" si="87"/>
        <v>0</v>
      </c>
      <c r="AA81" s="32">
        <f t="shared" si="87"/>
        <v>0</v>
      </c>
      <c r="AB81" s="32">
        <f t="shared" si="87"/>
        <v>0</v>
      </c>
      <c r="AC81" s="32">
        <f t="shared" si="63"/>
        <v>0</v>
      </c>
      <c r="AD81" s="32"/>
      <c r="AE81" s="32">
        <f t="shared" si="87"/>
        <v>0</v>
      </c>
      <c r="AF81" s="32">
        <f t="shared" si="87"/>
        <v>0</v>
      </c>
      <c r="AG81" s="32">
        <f t="shared" si="87"/>
        <v>0</v>
      </c>
      <c r="AH81" s="32">
        <f t="shared" si="87"/>
        <v>0</v>
      </c>
      <c r="AI81" s="32">
        <f t="shared" si="87"/>
        <v>0</v>
      </c>
      <c r="AJ81" s="32">
        <f t="shared" si="49"/>
        <v>0</v>
      </c>
      <c r="AK81" s="7">
        <v>0</v>
      </c>
      <c r="AL81" s="32">
        <v>0</v>
      </c>
      <c r="AM81" s="32"/>
      <c r="AN81" s="4">
        <v>0</v>
      </c>
      <c r="AO81" s="32">
        <f t="shared" si="64"/>
        <v>0</v>
      </c>
      <c r="AP81" s="32">
        <f t="shared" si="65"/>
        <v>0</v>
      </c>
      <c r="AS81" s="32">
        <f t="shared" si="66"/>
        <v>0</v>
      </c>
      <c r="AT81" s="32">
        <f t="shared" si="56"/>
        <v>0</v>
      </c>
      <c r="AU81" s="32">
        <f t="shared" si="67"/>
        <v>0</v>
      </c>
      <c r="AV81" s="4">
        <f t="shared" si="68"/>
        <v>0</v>
      </c>
      <c r="AW81" s="32">
        <f t="shared" si="69"/>
        <v>0</v>
      </c>
      <c r="AX81" s="4">
        <f t="shared" si="70"/>
        <v>0</v>
      </c>
      <c r="AY81" s="32">
        <f t="shared" si="71"/>
        <v>0</v>
      </c>
      <c r="AZ81" s="4">
        <f t="shared" si="72"/>
        <v>0</v>
      </c>
      <c r="BA81" s="32">
        <f t="shared" si="73"/>
        <v>0</v>
      </c>
      <c r="BB81" s="32">
        <f t="shared" si="57"/>
        <v>0</v>
      </c>
      <c r="BC81" s="32">
        <f t="shared" si="74"/>
        <v>0</v>
      </c>
      <c r="BD81" s="32">
        <f t="shared" si="75"/>
        <v>0</v>
      </c>
      <c r="BF81" s="32">
        <f t="shared" si="76"/>
        <v>0</v>
      </c>
      <c r="BG81" s="32">
        <f t="shared" si="58"/>
        <v>0</v>
      </c>
      <c r="BH81" s="32">
        <f t="shared" si="77"/>
        <v>0</v>
      </c>
      <c r="BI81" s="4">
        <f t="shared" si="78"/>
        <v>0</v>
      </c>
      <c r="BJ81" s="32">
        <f t="shared" si="79"/>
        <v>0</v>
      </c>
      <c r="BK81" s="4">
        <f t="shared" si="80"/>
        <v>0</v>
      </c>
      <c r="BL81" s="32">
        <f t="shared" si="81"/>
        <v>0</v>
      </c>
      <c r="BM81" s="4">
        <f t="shared" si="82"/>
        <v>0</v>
      </c>
      <c r="BN81" s="32">
        <f t="shared" si="83"/>
        <v>0</v>
      </c>
      <c r="BO81" s="4">
        <f t="shared" si="84"/>
        <v>0</v>
      </c>
      <c r="BP81" s="32">
        <f t="shared" si="85"/>
        <v>0</v>
      </c>
      <c r="BQ81" s="32">
        <f t="shared" si="86"/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  <c r="DO81" s="4">
        <v>0</v>
      </c>
      <c r="DP81" s="4">
        <v>0</v>
      </c>
      <c r="DQ81" s="4">
        <v>0</v>
      </c>
    </row>
    <row r="82" spans="1:121" x14ac:dyDescent="0.35">
      <c r="A82" s="84">
        <f>'2017 Prop share of contribs'!A78</f>
        <v>73</v>
      </c>
      <c r="B82" s="84" t="str">
        <f>'2017 Prop share of contribs'!B78</f>
        <v xml:space="preserve">MADISON COUNTY SCHOOLS  </v>
      </c>
      <c r="C82" s="25" t="s">
        <v>193</v>
      </c>
      <c r="D82" s="33">
        <f>ROUND('Employer Allocations'!G121,8)</f>
        <v>0</v>
      </c>
      <c r="E82" s="4">
        <f>ROUND('Employer Allocations'!H121,8)</f>
        <v>1.426784E-2</v>
      </c>
      <c r="F82" s="4">
        <f>ROUND('Employer Allocations'!I121,8)</f>
        <v>1.426784E-2</v>
      </c>
      <c r="G82" s="4">
        <v>0</v>
      </c>
      <c r="H82" s="4">
        <v>1.42465E-2</v>
      </c>
      <c r="I82" s="4">
        <v>1.42465E-2</v>
      </c>
      <c r="J82" s="7">
        <f t="shared" si="50"/>
        <v>0</v>
      </c>
      <c r="K82" s="7">
        <f t="shared" si="51"/>
        <v>384985477</v>
      </c>
      <c r="L82" s="7">
        <f t="shared" si="59"/>
        <v>384985477</v>
      </c>
      <c r="M82" s="7"/>
      <c r="N82" s="7">
        <f t="shared" si="52"/>
        <v>0</v>
      </c>
      <c r="O82" s="32">
        <f t="shared" si="53"/>
        <v>0</v>
      </c>
      <c r="P82" s="32"/>
      <c r="Q82" s="32">
        <f t="shared" si="54"/>
        <v>27405063</v>
      </c>
      <c r="R82" s="32">
        <f t="shared" si="60"/>
        <v>27405063</v>
      </c>
      <c r="S82" s="32">
        <f t="shared" si="61"/>
        <v>0</v>
      </c>
      <c r="T82" s="32">
        <f t="shared" si="55"/>
        <v>0</v>
      </c>
      <c r="U82" s="32">
        <f t="shared" si="87"/>
        <v>0</v>
      </c>
      <c r="V82" s="32">
        <f t="shared" si="87"/>
        <v>0</v>
      </c>
      <c r="W82" s="32">
        <f t="shared" si="87"/>
        <v>0</v>
      </c>
      <c r="X82" s="32">
        <f t="shared" si="62"/>
        <v>0</v>
      </c>
      <c r="Y82" s="32"/>
      <c r="Z82" s="32">
        <f t="shared" si="87"/>
        <v>0</v>
      </c>
      <c r="AA82" s="32">
        <f t="shared" si="87"/>
        <v>0</v>
      </c>
      <c r="AB82" s="32">
        <f t="shared" si="87"/>
        <v>0</v>
      </c>
      <c r="AC82" s="32">
        <f t="shared" si="63"/>
        <v>0</v>
      </c>
      <c r="AD82" s="32"/>
      <c r="AE82" s="32">
        <f t="shared" si="87"/>
        <v>0</v>
      </c>
      <c r="AF82" s="32">
        <f t="shared" si="87"/>
        <v>0</v>
      </c>
      <c r="AG82" s="32">
        <f t="shared" si="87"/>
        <v>0</v>
      </c>
      <c r="AH82" s="32">
        <f t="shared" si="87"/>
        <v>0</v>
      </c>
      <c r="AI82" s="32">
        <f t="shared" si="87"/>
        <v>0</v>
      </c>
      <c r="AJ82" s="32">
        <f t="shared" si="49"/>
        <v>0</v>
      </c>
      <c r="AK82" s="7">
        <v>0</v>
      </c>
      <c r="AL82" s="32">
        <v>0</v>
      </c>
      <c r="AM82" s="32"/>
      <c r="AN82" s="4">
        <v>0</v>
      </c>
      <c r="AO82" s="32">
        <f t="shared" si="64"/>
        <v>0</v>
      </c>
      <c r="AP82" s="32">
        <f t="shared" si="65"/>
        <v>0</v>
      </c>
      <c r="AS82" s="32">
        <f t="shared" si="66"/>
        <v>0</v>
      </c>
      <c r="AT82" s="32">
        <f t="shared" si="56"/>
        <v>0</v>
      </c>
      <c r="AU82" s="32">
        <f t="shared" si="67"/>
        <v>0</v>
      </c>
      <c r="AV82" s="4">
        <f t="shared" si="68"/>
        <v>0</v>
      </c>
      <c r="AW82" s="32">
        <f t="shared" si="69"/>
        <v>0</v>
      </c>
      <c r="AX82" s="4">
        <f t="shared" si="70"/>
        <v>0</v>
      </c>
      <c r="AY82" s="32">
        <f t="shared" si="71"/>
        <v>0</v>
      </c>
      <c r="AZ82" s="4">
        <f t="shared" si="72"/>
        <v>0</v>
      </c>
      <c r="BA82" s="32">
        <f t="shared" si="73"/>
        <v>0</v>
      </c>
      <c r="BB82" s="32">
        <f t="shared" si="57"/>
        <v>0</v>
      </c>
      <c r="BC82" s="32">
        <f t="shared" si="74"/>
        <v>0</v>
      </c>
      <c r="BD82" s="32">
        <f t="shared" si="75"/>
        <v>0</v>
      </c>
      <c r="BF82" s="32">
        <f t="shared" si="76"/>
        <v>0</v>
      </c>
      <c r="BG82" s="32">
        <f t="shared" si="58"/>
        <v>0</v>
      </c>
      <c r="BH82" s="32">
        <f t="shared" si="77"/>
        <v>0</v>
      </c>
      <c r="BI82" s="4">
        <f t="shared" si="78"/>
        <v>0</v>
      </c>
      <c r="BJ82" s="32">
        <f t="shared" si="79"/>
        <v>0</v>
      </c>
      <c r="BK82" s="4">
        <f t="shared" si="80"/>
        <v>0</v>
      </c>
      <c r="BL82" s="32">
        <f t="shared" si="81"/>
        <v>0</v>
      </c>
      <c r="BM82" s="4">
        <f t="shared" si="82"/>
        <v>0</v>
      </c>
      <c r="BN82" s="32">
        <f t="shared" si="83"/>
        <v>0</v>
      </c>
      <c r="BO82" s="4">
        <f t="shared" si="84"/>
        <v>0</v>
      </c>
      <c r="BP82" s="32">
        <f t="shared" si="85"/>
        <v>0</v>
      </c>
      <c r="BQ82" s="32">
        <f t="shared" si="86"/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</row>
    <row r="83" spans="1:121" x14ac:dyDescent="0.35">
      <c r="A83" s="84">
        <f>'2017 Prop share of contribs'!A79</f>
        <v>74</v>
      </c>
      <c r="B83" s="84" t="str">
        <f>'2017 Prop share of contribs'!B79</f>
        <v xml:space="preserve">MAGOFFIN COUNTY SCHOOLS  </v>
      </c>
      <c r="C83" s="25" t="s">
        <v>194</v>
      </c>
      <c r="D83" s="33">
        <f>ROUND('Employer Allocations'!G122,8)</f>
        <v>0</v>
      </c>
      <c r="E83" s="4">
        <f>ROUND('Employer Allocations'!H122,8)</f>
        <v>2.6472599999999998E-3</v>
      </c>
      <c r="F83" s="4">
        <f>ROUND('Employer Allocations'!I122,8)</f>
        <v>2.6472599999999998E-3</v>
      </c>
      <c r="G83" s="4">
        <v>0</v>
      </c>
      <c r="H83" s="4">
        <v>2.7857899999999998E-3</v>
      </c>
      <c r="I83" s="4">
        <v>2.7857899999999998E-3</v>
      </c>
      <c r="J83" s="7">
        <f t="shared" si="50"/>
        <v>0</v>
      </c>
      <c r="K83" s="7">
        <f t="shared" si="51"/>
        <v>71430339</v>
      </c>
      <c r="L83" s="7">
        <f t="shared" si="59"/>
        <v>71430339</v>
      </c>
      <c r="M83" s="7"/>
      <c r="N83" s="7">
        <f t="shared" si="52"/>
        <v>0</v>
      </c>
      <c r="O83" s="32">
        <f t="shared" si="53"/>
        <v>0</v>
      </c>
      <c r="P83" s="32"/>
      <c r="Q83" s="32">
        <f t="shared" si="54"/>
        <v>5084745</v>
      </c>
      <c r="R83" s="32">
        <f t="shared" si="60"/>
        <v>5084745</v>
      </c>
      <c r="S83" s="32">
        <f t="shared" si="61"/>
        <v>0</v>
      </c>
      <c r="T83" s="32">
        <f t="shared" si="55"/>
        <v>0</v>
      </c>
      <c r="U83" s="32">
        <f t="shared" si="87"/>
        <v>0</v>
      </c>
      <c r="V83" s="32">
        <f t="shared" si="87"/>
        <v>0</v>
      </c>
      <c r="W83" s="32">
        <f t="shared" si="87"/>
        <v>0</v>
      </c>
      <c r="X83" s="32">
        <f t="shared" si="62"/>
        <v>0</v>
      </c>
      <c r="Y83" s="32"/>
      <c r="Z83" s="32">
        <f t="shared" si="87"/>
        <v>0</v>
      </c>
      <c r="AA83" s="32">
        <f t="shared" si="87"/>
        <v>0</v>
      </c>
      <c r="AB83" s="32">
        <f t="shared" si="87"/>
        <v>0</v>
      </c>
      <c r="AC83" s="32">
        <f t="shared" si="63"/>
        <v>0</v>
      </c>
      <c r="AD83" s="32"/>
      <c r="AE83" s="32">
        <f t="shared" si="87"/>
        <v>0</v>
      </c>
      <c r="AF83" s="32">
        <f t="shared" si="87"/>
        <v>0</v>
      </c>
      <c r="AG83" s="32">
        <f t="shared" si="87"/>
        <v>0</v>
      </c>
      <c r="AH83" s="32">
        <f t="shared" si="87"/>
        <v>0</v>
      </c>
      <c r="AI83" s="32">
        <f t="shared" si="87"/>
        <v>0</v>
      </c>
      <c r="AJ83" s="32">
        <f t="shared" si="49"/>
        <v>0</v>
      </c>
      <c r="AK83" s="7">
        <v>0</v>
      </c>
      <c r="AL83" s="32">
        <v>0</v>
      </c>
      <c r="AM83" s="32"/>
      <c r="AN83" s="4">
        <v>0</v>
      </c>
      <c r="AO83" s="32">
        <f t="shared" si="64"/>
        <v>0</v>
      </c>
      <c r="AP83" s="32">
        <f t="shared" si="65"/>
        <v>0</v>
      </c>
      <c r="AS83" s="32">
        <f t="shared" si="66"/>
        <v>0</v>
      </c>
      <c r="AT83" s="32">
        <f t="shared" si="56"/>
        <v>0</v>
      </c>
      <c r="AU83" s="32">
        <f t="shared" si="67"/>
        <v>0</v>
      </c>
      <c r="AV83" s="4">
        <f t="shared" si="68"/>
        <v>0</v>
      </c>
      <c r="AW83" s="32">
        <f t="shared" si="69"/>
        <v>0</v>
      </c>
      <c r="AX83" s="4">
        <f t="shared" si="70"/>
        <v>0</v>
      </c>
      <c r="AY83" s="32">
        <f t="shared" si="71"/>
        <v>0</v>
      </c>
      <c r="AZ83" s="4">
        <f t="shared" si="72"/>
        <v>0</v>
      </c>
      <c r="BA83" s="32">
        <f t="shared" si="73"/>
        <v>0</v>
      </c>
      <c r="BB83" s="32">
        <f t="shared" si="57"/>
        <v>0</v>
      </c>
      <c r="BC83" s="32">
        <f t="shared" si="74"/>
        <v>0</v>
      </c>
      <c r="BD83" s="32">
        <f t="shared" si="75"/>
        <v>0</v>
      </c>
      <c r="BF83" s="32">
        <f t="shared" si="76"/>
        <v>0</v>
      </c>
      <c r="BG83" s="32">
        <f t="shared" si="58"/>
        <v>0</v>
      </c>
      <c r="BH83" s="32">
        <f t="shared" si="77"/>
        <v>0</v>
      </c>
      <c r="BI83" s="4">
        <f t="shared" si="78"/>
        <v>0</v>
      </c>
      <c r="BJ83" s="32">
        <f t="shared" si="79"/>
        <v>0</v>
      </c>
      <c r="BK83" s="4">
        <f t="shared" si="80"/>
        <v>0</v>
      </c>
      <c r="BL83" s="32">
        <f t="shared" si="81"/>
        <v>0</v>
      </c>
      <c r="BM83" s="4">
        <f t="shared" si="82"/>
        <v>0</v>
      </c>
      <c r="BN83" s="32">
        <f t="shared" si="83"/>
        <v>0</v>
      </c>
      <c r="BO83" s="4">
        <f t="shared" si="84"/>
        <v>0</v>
      </c>
      <c r="BP83" s="32">
        <f t="shared" si="85"/>
        <v>0</v>
      </c>
      <c r="BQ83" s="32">
        <f t="shared" si="86"/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</row>
    <row r="84" spans="1:121" x14ac:dyDescent="0.35">
      <c r="A84" s="84">
        <f>'2017 Prop share of contribs'!A80</f>
        <v>75</v>
      </c>
      <c r="B84" s="84" t="str">
        <f>'2017 Prop share of contribs'!B80</f>
        <v xml:space="preserve">MARION COUNTY SCHOOLS  </v>
      </c>
      <c r="C84" s="25" t="s">
        <v>195</v>
      </c>
      <c r="D84" s="33">
        <f>ROUND('Employer Allocations'!G123,8)</f>
        <v>0</v>
      </c>
      <c r="E84" s="4">
        <f>ROUND('Employer Allocations'!H123,8)</f>
        <v>4.7860300000000001E-3</v>
      </c>
      <c r="F84" s="4">
        <f>ROUND('Employer Allocations'!I123,8)</f>
        <v>4.7860300000000001E-3</v>
      </c>
      <c r="G84" s="4">
        <v>0</v>
      </c>
      <c r="H84" s="4">
        <v>4.6068100000000002E-3</v>
      </c>
      <c r="I84" s="4">
        <v>4.6068100000000002E-3</v>
      </c>
      <c r="J84" s="7">
        <f t="shared" si="50"/>
        <v>0</v>
      </c>
      <c r="K84" s="7">
        <f t="shared" si="51"/>
        <v>129140223</v>
      </c>
      <c r="L84" s="7">
        <f t="shared" si="59"/>
        <v>129140223</v>
      </c>
      <c r="M84" s="7"/>
      <c r="N84" s="7">
        <f t="shared" si="52"/>
        <v>0</v>
      </c>
      <c r="O84" s="32">
        <f t="shared" si="53"/>
        <v>0</v>
      </c>
      <c r="P84" s="32"/>
      <c r="Q84" s="32">
        <f t="shared" si="54"/>
        <v>9192804</v>
      </c>
      <c r="R84" s="32">
        <f t="shared" si="60"/>
        <v>9192804</v>
      </c>
      <c r="S84" s="32">
        <f t="shared" si="61"/>
        <v>0</v>
      </c>
      <c r="T84" s="32">
        <f t="shared" si="55"/>
        <v>0</v>
      </c>
      <c r="U84" s="32">
        <f t="shared" si="87"/>
        <v>0</v>
      </c>
      <c r="V84" s="32">
        <f t="shared" si="87"/>
        <v>0</v>
      </c>
      <c r="W84" s="32">
        <f t="shared" si="87"/>
        <v>0</v>
      </c>
      <c r="X84" s="32">
        <f t="shared" si="62"/>
        <v>0</v>
      </c>
      <c r="Y84" s="32"/>
      <c r="Z84" s="32">
        <f t="shared" si="87"/>
        <v>0</v>
      </c>
      <c r="AA84" s="32">
        <f t="shared" si="87"/>
        <v>0</v>
      </c>
      <c r="AB84" s="32">
        <f t="shared" si="87"/>
        <v>0</v>
      </c>
      <c r="AC84" s="32">
        <f t="shared" si="63"/>
        <v>0</v>
      </c>
      <c r="AD84" s="32"/>
      <c r="AE84" s="32">
        <f t="shared" si="87"/>
        <v>0</v>
      </c>
      <c r="AF84" s="32">
        <f t="shared" si="87"/>
        <v>0</v>
      </c>
      <c r="AG84" s="32">
        <f t="shared" si="87"/>
        <v>0</v>
      </c>
      <c r="AH84" s="32">
        <f t="shared" si="87"/>
        <v>0</v>
      </c>
      <c r="AI84" s="32">
        <f t="shared" si="87"/>
        <v>0</v>
      </c>
      <c r="AJ84" s="32">
        <f t="shared" si="49"/>
        <v>0</v>
      </c>
      <c r="AK84" s="7">
        <v>0</v>
      </c>
      <c r="AL84" s="32">
        <v>0</v>
      </c>
      <c r="AM84" s="32"/>
      <c r="AN84" s="4">
        <v>0</v>
      </c>
      <c r="AO84" s="32">
        <f t="shared" si="64"/>
        <v>0</v>
      </c>
      <c r="AP84" s="32">
        <f t="shared" si="65"/>
        <v>0</v>
      </c>
      <c r="AS84" s="32">
        <f t="shared" si="66"/>
        <v>0</v>
      </c>
      <c r="AT84" s="32">
        <f t="shared" si="56"/>
        <v>0</v>
      </c>
      <c r="AU84" s="32">
        <f t="shared" si="67"/>
        <v>0</v>
      </c>
      <c r="AV84" s="4">
        <f t="shared" si="68"/>
        <v>0</v>
      </c>
      <c r="AW84" s="32">
        <f t="shared" si="69"/>
        <v>0</v>
      </c>
      <c r="AX84" s="4">
        <f t="shared" si="70"/>
        <v>0</v>
      </c>
      <c r="AY84" s="32">
        <f t="shared" si="71"/>
        <v>0</v>
      </c>
      <c r="AZ84" s="4">
        <f t="shared" si="72"/>
        <v>0</v>
      </c>
      <c r="BA84" s="32">
        <f t="shared" si="73"/>
        <v>0</v>
      </c>
      <c r="BB84" s="32">
        <f t="shared" si="57"/>
        <v>0</v>
      </c>
      <c r="BC84" s="32">
        <f t="shared" si="74"/>
        <v>0</v>
      </c>
      <c r="BD84" s="32">
        <f t="shared" si="75"/>
        <v>0</v>
      </c>
      <c r="BF84" s="32">
        <f t="shared" si="76"/>
        <v>0</v>
      </c>
      <c r="BG84" s="32">
        <f t="shared" si="58"/>
        <v>0</v>
      </c>
      <c r="BH84" s="32">
        <f t="shared" si="77"/>
        <v>0</v>
      </c>
      <c r="BI84" s="4">
        <f t="shared" si="78"/>
        <v>0</v>
      </c>
      <c r="BJ84" s="32">
        <f t="shared" si="79"/>
        <v>0</v>
      </c>
      <c r="BK84" s="4">
        <f t="shared" si="80"/>
        <v>0</v>
      </c>
      <c r="BL84" s="32">
        <f t="shared" si="81"/>
        <v>0</v>
      </c>
      <c r="BM84" s="4">
        <f t="shared" si="82"/>
        <v>0</v>
      </c>
      <c r="BN84" s="32">
        <f t="shared" si="83"/>
        <v>0</v>
      </c>
      <c r="BO84" s="4">
        <f t="shared" si="84"/>
        <v>0</v>
      </c>
      <c r="BP84" s="32">
        <f t="shared" si="85"/>
        <v>0</v>
      </c>
      <c r="BQ84" s="32">
        <f t="shared" si="86"/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  <c r="DN84" s="4">
        <v>0</v>
      </c>
      <c r="DO84" s="4">
        <v>0</v>
      </c>
      <c r="DP84" s="4">
        <v>0</v>
      </c>
      <c r="DQ84" s="4">
        <v>0</v>
      </c>
    </row>
    <row r="85" spans="1:121" x14ac:dyDescent="0.35">
      <c r="A85" s="84">
        <f>'2017 Prop share of contribs'!A81</f>
        <v>76</v>
      </c>
      <c r="B85" s="84" t="str">
        <f>'2017 Prop share of contribs'!B81</f>
        <v xml:space="preserve">MARSHALL COUNTY SCHOOLS  </v>
      </c>
      <c r="C85" s="25" t="s">
        <v>196</v>
      </c>
      <c r="D85" s="33">
        <f>ROUND('Employer Allocations'!G124,8)</f>
        <v>0</v>
      </c>
      <c r="E85" s="4">
        <f>ROUND('Employer Allocations'!H124,8)</f>
        <v>6.4441999999999998E-3</v>
      </c>
      <c r="F85" s="4">
        <f>ROUND('Employer Allocations'!I124,8)</f>
        <v>6.4441999999999998E-3</v>
      </c>
      <c r="G85" s="4">
        <v>0</v>
      </c>
      <c r="H85" s="4">
        <v>6.5600399999999996E-3</v>
      </c>
      <c r="I85" s="4">
        <v>6.5600399999999996E-3</v>
      </c>
      <c r="J85" s="7">
        <f t="shared" si="50"/>
        <v>0</v>
      </c>
      <c r="K85" s="7">
        <f t="shared" si="51"/>
        <v>173882200</v>
      </c>
      <c r="L85" s="7">
        <f t="shared" si="59"/>
        <v>173882200</v>
      </c>
      <c r="M85" s="7"/>
      <c r="N85" s="7">
        <f t="shared" si="52"/>
        <v>0</v>
      </c>
      <c r="O85" s="32">
        <f t="shared" si="53"/>
        <v>0</v>
      </c>
      <c r="P85" s="32"/>
      <c r="Q85" s="32">
        <f t="shared" si="54"/>
        <v>12377746</v>
      </c>
      <c r="R85" s="32">
        <f t="shared" si="60"/>
        <v>12377746</v>
      </c>
      <c r="S85" s="32">
        <f t="shared" si="61"/>
        <v>0</v>
      </c>
      <c r="T85" s="32">
        <f t="shared" si="55"/>
        <v>0</v>
      </c>
      <c r="U85" s="32">
        <f t="shared" si="87"/>
        <v>0</v>
      </c>
      <c r="V85" s="32">
        <f t="shared" si="87"/>
        <v>0</v>
      </c>
      <c r="W85" s="32">
        <f t="shared" si="87"/>
        <v>0</v>
      </c>
      <c r="X85" s="32">
        <f t="shared" si="62"/>
        <v>0</v>
      </c>
      <c r="Y85" s="32"/>
      <c r="Z85" s="32">
        <f t="shared" si="87"/>
        <v>0</v>
      </c>
      <c r="AA85" s="32">
        <f t="shared" si="87"/>
        <v>0</v>
      </c>
      <c r="AB85" s="32">
        <f t="shared" si="87"/>
        <v>0</v>
      </c>
      <c r="AC85" s="32">
        <f t="shared" si="63"/>
        <v>0</v>
      </c>
      <c r="AD85" s="32"/>
      <c r="AE85" s="32">
        <f t="shared" si="87"/>
        <v>0</v>
      </c>
      <c r="AF85" s="32">
        <f t="shared" si="87"/>
        <v>0</v>
      </c>
      <c r="AG85" s="32">
        <f t="shared" si="87"/>
        <v>0</v>
      </c>
      <c r="AH85" s="32">
        <f t="shared" si="87"/>
        <v>0</v>
      </c>
      <c r="AI85" s="32">
        <f t="shared" si="87"/>
        <v>0</v>
      </c>
      <c r="AJ85" s="32">
        <f t="shared" si="49"/>
        <v>0</v>
      </c>
      <c r="AK85" s="7">
        <v>0</v>
      </c>
      <c r="AL85" s="32">
        <v>0</v>
      </c>
      <c r="AM85" s="32"/>
      <c r="AN85" s="4">
        <v>0</v>
      </c>
      <c r="AO85" s="32">
        <f t="shared" si="64"/>
        <v>0</v>
      </c>
      <c r="AP85" s="32">
        <f t="shared" si="65"/>
        <v>0</v>
      </c>
      <c r="AS85" s="32">
        <f t="shared" si="66"/>
        <v>0</v>
      </c>
      <c r="AT85" s="32">
        <f t="shared" si="56"/>
        <v>0</v>
      </c>
      <c r="AU85" s="32">
        <f t="shared" si="67"/>
        <v>0</v>
      </c>
      <c r="AV85" s="4">
        <f t="shared" si="68"/>
        <v>0</v>
      </c>
      <c r="AW85" s="32">
        <f t="shared" si="69"/>
        <v>0</v>
      </c>
      <c r="AX85" s="4">
        <f t="shared" si="70"/>
        <v>0</v>
      </c>
      <c r="AY85" s="32">
        <f t="shared" si="71"/>
        <v>0</v>
      </c>
      <c r="AZ85" s="4">
        <f t="shared" si="72"/>
        <v>0</v>
      </c>
      <c r="BA85" s="32">
        <f t="shared" si="73"/>
        <v>0</v>
      </c>
      <c r="BB85" s="32">
        <f t="shared" si="57"/>
        <v>0</v>
      </c>
      <c r="BC85" s="32">
        <f t="shared" si="74"/>
        <v>0</v>
      </c>
      <c r="BD85" s="32">
        <f t="shared" si="75"/>
        <v>0</v>
      </c>
      <c r="BF85" s="32">
        <f t="shared" si="76"/>
        <v>0</v>
      </c>
      <c r="BG85" s="32">
        <f t="shared" si="58"/>
        <v>0</v>
      </c>
      <c r="BH85" s="32">
        <f t="shared" si="77"/>
        <v>0</v>
      </c>
      <c r="BI85" s="4">
        <f t="shared" si="78"/>
        <v>0</v>
      </c>
      <c r="BJ85" s="32">
        <f t="shared" si="79"/>
        <v>0</v>
      </c>
      <c r="BK85" s="4">
        <f t="shared" si="80"/>
        <v>0</v>
      </c>
      <c r="BL85" s="32">
        <f t="shared" si="81"/>
        <v>0</v>
      </c>
      <c r="BM85" s="4">
        <f t="shared" si="82"/>
        <v>0</v>
      </c>
      <c r="BN85" s="32">
        <f t="shared" si="83"/>
        <v>0</v>
      </c>
      <c r="BO85" s="4">
        <f t="shared" si="84"/>
        <v>0</v>
      </c>
      <c r="BP85" s="32">
        <f t="shared" si="85"/>
        <v>0</v>
      </c>
      <c r="BQ85" s="32">
        <f t="shared" si="86"/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  <c r="DN85" s="4">
        <v>0</v>
      </c>
      <c r="DO85" s="4">
        <v>0</v>
      </c>
      <c r="DP85" s="4">
        <v>0</v>
      </c>
      <c r="DQ85" s="4">
        <v>0</v>
      </c>
    </row>
    <row r="86" spans="1:121" x14ac:dyDescent="0.35">
      <c r="A86" s="84">
        <f>'2017 Prop share of contribs'!A82</f>
        <v>77</v>
      </c>
      <c r="B86" s="84" t="str">
        <f>'2017 Prop share of contribs'!B82</f>
        <v xml:space="preserve">MARTIN COUNTY SCHOOLS  </v>
      </c>
      <c r="C86" s="25" t="s">
        <v>197</v>
      </c>
      <c r="D86" s="33">
        <f>ROUND('Employer Allocations'!G125,8)</f>
        <v>0</v>
      </c>
      <c r="E86" s="4">
        <f>ROUND('Employer Allocations'!H125,8)</f>
        <v>2.2684099999999998E-3</v>
      </c>
      <c r="F86" s="4">
        <f>ROUND('Employer Allocations'!I125,8)</f>
        <v>2.2684099999999998E-3</v>
      </c>
      <c r="G86" s="4">
        <v>0</v>
      </c>
      <c r="H86" s="4">
        <v>2.46904E-3</v>
      </c>
      <c r="I86" s="4">
        <v>2.46904E-3</v>
      </c>
      <c r="J86" s="7">
        <f t="shared" si="50"/>
        <v>0</v>
      </c>
      <c r="K86" s="7">
        <f t="shared" si="51"/>
        <v>61207927</v>
      </c>
      <c r="L86" s="7">
        <f t="shared" si="59"/>
        <v>61207927</v>
      </c>
      <c r="M86" s="7"/>
      <c r="N86" s="7">
        <f t="shared" si="52"/>
        <v>0</v>
      </c>
      <c r="O86" s="32">
        <f t="shared" si="53"/>
        <v>0</v>
      </c>
      <c r="P86" s="32"/>
      <c r="Q86" s="32">
        <f t="shared" si="54"/>
        <v>4357066</v>
      </c>
      <c r="R86" s="32">
        <f t="shared" si="60"/>
        <v>4357066</v>
      </c>
      <c r="S86" s="32">
        <f t="shared" si="61"/>
        <v>0</v>
      </c>
      <c r="T86" s="32">
        <f t="shared" si="55"/>
        <v>0</v>
      </c>
      <c r="U86" s="32">
        <f t="shared" si="87"/>
        <v>0</v>
      </c>
      <c r="V86" s="32">
        <f t="shared" si="87"/>
        <v>0</v>
      </c>
      <c r="W86" s="32">
        <f t="shared" si="87"/>
        <v>0</v>
      </c>
      <c r="X86" s="32">
        <f t="shared" si="62"/>
        <v>0</v>
      </c>
      <c r="Y86" s="32"/>
      <c r="Z86" s="32">
        <f t="shared" si="87"/>
        <v>0</v>
      </c>
      <c r="AA86" s="32">
        <f t="shared" si="87"/>
        <v>0</v>
      </c>
      <c r="AB86" s="32">
        <f t="shared" si="87"/>
        <v>0</v>
      </c>
      <c r="AC86" s="32">
        <f t="shared" si="63"/>
        <v>0</v>
      </c>
      <c r="AD86" s="32"/>
      <c r="AE86" s="32">
        <f t="shared" si="87"/>
        <v>0</v>
      </c>
      <c r="AF86" s="32">
        <f t="shared" si="87"/>
        <v>0</v>
      </c>
      <c r="AG86" s="32">
        <f t="shared" si="87"/>
        <v>0</v>
      </c>
      <c r="AH86" s="32">
        <f t="shared" si="87"/>
        <v>0</v>
      </c>
      <c r="AI86" s="32">
        <f t="shared" si="87"/>
        <v>0</v>
      </c>
      <c r="AJ86" s="32">
        <f t="shared" si="87"/>
        <v>0</v>
      </c>
      <c r="AK86" s="7">
        <v>0</v>
      </c>
      <c r="AL86" s="32">
        <v>0</v>
      </c>
      <c r="AM86" s="32"/>
      <c r="AN86" s="4">
        <v>0</v>
      </c>
      <c r="AO86" s="32">
        <f t="shared" si="64"/>
        <v>0</v>
      </c>
      <c r="AP86" s="32">
        <f t="shared" si="65"/>
        <v>0</v>
      </c>
      <c r="AS86" s="32">
        <f t="shared" si="66"/>
        <v>0</v>
      </c>
      <c r="AT86" s="32">
        <f t="shared" si="56"/>
        <v>0</v>
      </c>
      <c r="AU86" s="32">
        <f t="shared" si="67"/>
        <v>0</v>
      </c>
      <c r="AV86" s="4">
        <f t="shared" si="68"/>
        <v>0</v>
      </c>
      <c r="AW86" s="32">
        <f t="shared" si="69"/>
        <v>0</v>
      </c>
      <c r="AX86" s="4">
        <f t="shared" si="70"/>
        <v>0</v>
      </c>
      <c r="AY86" s="32">
        <f t="shared" si="71"/>
        <v>0</v>
      </c>
      <c r="AZ86" s="4">
        <f t="shared" si="72"/>
        <v>0</v>
      </c>
      <c r="BA86" s="32">
        <f t="shared" si="73"/>
        <v>0</v>
      </c>
      <c r="BB86" s="32">
        <f t="shared" si="57"/>
        <v>0</v>
      </c>
      <c r="BC86" s="32">
        <f t="shared" si="74"/>
        <v>0</v>
      </c>
      <c r="BD86" s="32">
        <f t="shared" si="75"/>
        <v>0</v>
      </c>
      <c r="BF86" s="32">
        <f t="shared" si="76"/>
        <v>0</v>
      </c>
      <c r="BG86" s="32">
        <f t="shared" si="58"/>
        <v>0</v>
      </c>
      <c r="BH86" s="32">
        <f t="shared" si="77"/>
        <v>0</v>
      </c>
      <c r="BI86" s="4">
        <f t="shared" si="78"/>
        <v>0</v>
      </c>
      <c r="BJ86" s="32">
        <f t="shared" si="79"/>
        <v>0</v>
      </c>
      <c r="BK86" s="4">
        <f t="shared" si="80"/>
        <v>0</v>
      </c>
      <c r="BL86" s="32">
        <f t="shared" si="81"/>
        <v>0</v>
      </c>
      <c r="BM86" s="4">
        <f t="shared" si="82"/>
        <v>0</v>
      </c>
      <c r="BN86" s="32">
        <f t="shared" si="83"/>
        <v>0</v>
      </c>
      <c r="BO86" s="4">
        <f t="shared" si="84"/>
        <v>0</v>
      </c>
      <c r="BP86" s="32">
        <f t="shared" si="85"/>
        <v>0</v>
      </c>
      <c r="BQ86" s="32">
        <f t="shared" si="86"/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  <c r="DN86" s="4">
        <v>0</v>
      </c>
      <c r="DO86" s="4">
        <v>0</v>
      </c>
      <c r="DP86" s="4">
        <v>0</v>
      </c>
      <c r="DQ86" s="4">
        <v>0</v>
      </c>
    </row>
    <row r="87" spans="1:121" x14ac:dyDescent="0.35">
      <c r="A87" s="84">
        <f>'2017 Prop share of contribs'!A83</f>
        <v>78</v>
      </c>
      <c r="B87" s="84" t="str">
        <f>'2017 Prop share of contribs'!B83</f>
        <v xml:space="preserve">MASON COUNTY SCHOOLS  </v>
      </c>
      <c r="C87" s="25" t="s">
        <v>198</v>
      </c>
      <c r="D87" s="33">
        <f>ROUND('Employer Allocations'!G126,8)</f>
        <v>0</v>
      </c>
      <c r="E87" s="4">
        <f>ROUND('Employer Allocations'!H126,8)</f>
        <v>3.7515399999999998E-3</v>
      </c>
      <c r="F87" s="4">
        <f>ROUND('Employer Allocations'!I126,8)</f>
        <v>3.7515399999999998E-3</v>
      </c>
      <c r="G87" s="4">
        <v>0</v>
      </c>
      <c r="H87" s="4">
        <v>3.7417100000000001E-3</v>
      </c>
      <c r="I87" s="4">
        <v>3.7417100000000001E-3</v>
      </c>
      <c r="J87" s="7">
        <f t="shared" si="50"/>
        <v>0</v>
      </c>
      <c r="K87" s="7">
        <f t="shared" si="51"/>
        <v>101226844</v>
      </c>
      <c r="L87" s="7">
        <f t="shared" si="59"/>
        <v>101226844</v>
      </c>
      <c r="M87" s="7"/>
      <c r="N87" s="7">
        <f t="shared" si="52"/>
        <v>0</v>
      </c>
      <c r="O87" s="32">
        <f t="shared" si="53"/>
        <v>0</v>
      </c>
      <c r="P87" s="32"/>
      <c r="Q87" s="32">
        <f t="shared" si="54"/>
        <v>7205799</v>
      </c>
      <c r="R87" s="32">
        <f t="shared" si="60"/>
        <v>7205799</v>
      </c>
      <c r="S87" s="32">
        <f t="shared" si="61"/>
        <v>0</v>
      </c>
      <c r="T87" s="32">
        <f t="shared" si="55"/>
        <v>0</v>
      </c>
      <c r="U87" s="32">
        <f t="shared" si="87"/>
        <v>0</v>
      </c>
      <c r="V87" s="32">
        <f t="shared" si="87"/>
        <v>0</v>
      </c>
      <c r="W87" s="32">
        <f t="shared" si="87"/>
        <v>0</v>
      </c>
      <c r="X87" s="32">
        <f t="shared" si="62"/>
        <v>0</v>
      </c>
      <c r="Y87" s="32"/>
      <c r="Z87" s="32">
        <f t="shared" si="87"/>
        <v>0</v>
      </c>
      <c r="AA87" s="32">
        <f t="shared" si="87"/>
        <v>0</v>
      </c>
      <c r="AB87" s="32">
        <f t="shared" si="87"/>
        <v>0</v>
      </c>
      <c r="AC87" s="32">
        <f t="shared" si="63"/>
        <v>0</v>
      </c>
      <c r="AD87" s="32"/>
      <c r="AE87" s="32">
        <f t="shared" si="87"/>
        <v>0</v>
      </c>
      <c r="AF87" s="32">
        <f t="shared" si="87"/>
        <v>0</v>
      </c>
      <c r="AG87" s="32">
        <f t="shared" si="87"/>
        <v>0</v>
      </c>
      <c r="AH87" s="32">
        <f t="shared" si="87"/>
        <v>0</v>
      </c>
      <c r="AI87" s="32">
        <f t="shared" si="87"/>
        <v>0</v>
      </c>
      <c r="AJ87" s="32">
        <f t="shared" si="87"/>
        <v>0</v>
      </c>
      <c r="AK87" s="7">
        <v>0</v>
      </c>
      <c r="AL87" s="32">
        <v>0</v>
      </c>
      <c r="AM87" s="32"/>
      <c r="AN87" s="4">
        <v>0</v>
      </c>
      <c r="AO87" s="32">
        <f t="shared" si="64"/>
        <v>0</v>
      </c>
      <c r="AP87" s="32">
        <f t="shared" si="65"/>
        <v>0</v>
      </c>
      <c r="AS87" s="32">
        <f t="shared" si="66"/>
        <v>0</v>
      </c>
      <c r="AT87" s="32">
        <f t="shared" si="56"/>
        <v>0</v>
      </c>
      <c r="AU87" s="32">
        <f t="shared" si="67"/>
        <v>0</v>
      </c>
      <c r="AV87" s="4">
        <f t="shared" si="68"/>
        <v>0</v>
      </c>
      <c r="AW87" s="32">
        <f t="shared" si="69"/>
        <v>0</v>
      </c>
      <c r="AX87" s="4">
        <f t="shared" si="70"/>
        <v>0</v>
      </c>
      <c r="AY87" s="32">
        <f t="shared" si="71"/>
        <v>0</v>
      </c>
      <c r="AZ87" s="4">
        <f t="shared" si="72"/>
        <v>0</v>
      </c>
      <c r="BA87" s="32">
        <f t="shared" si="73"/>
        <v>0</v>
      </c>
      <c r="BB87" s="32">
        <f t="shared" si="57"/>
        <v>0</v>
      </c>
      <c r="BC87" s="32">
        <f t="shared" si="74"/>
        <v>0</v>
      </c>
      <c r="BD87" s="32">
        <f t="shared" si="75"/>
        <v>0</v>
      </c>
      <c r="BF87" s="32">
        <f t="shared" si="76"/>
        <v>0</v>
      </c>
      <c r="BG87" s="32">
        <f t="shared" si="58"/>
        <v>0</v>
      </c>
      <c r="BH87" s="32">
        <f t="shared" si="77"/>
        <v>0</v>
      </c>
      <c r="BI87" s="4">
        <f t="shared" si="78"/>
        <v>0</v>
      </c>
      <c r="BJ87" s="32">
        <f t="shared" si="79"/>
        <v>0</v>
      </c>
      <c r="BK87" s="4">
        <f t="shared" si="80"/>
        <v>0</v>
      </c>
      <c r="BL87" s="32">
        <f t="shared" si="81"/>
        <v>0</v>
      </c>
      <c r="BM87" s="4">
        <f t="shared" si="82"/>
        <v>0</v>
      </c>
      <c r="BN87" s="32">
        <f t="shared" si="83"/>
        <v>0</v>
      </c>
      <c r="BO87" s="4">
        <f t="shared" si="84"/>
        <v>0</v>
      </c>
      <c r="BP87" s="32">
        <f t="shared" si="85"/>
        <v>0</v>
      </c>
      <c r="BQ87" s="32">
        <f t="shared" si="86"/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</row>
    <row r="88" spans="1:121" x14ac:dyDescent="0.35">
      <c r="A88" s="84">
        <f>'2017 Prop share of contribs'!A84</f>
        <v>79</v>
      </c>
      <c r="B88" s="84" t="str">
        <f>'2017 Prop share of contribs'!B84</f>
        <v xml:space="preserve">MCCRACKEN COUNTY SCHOOLS  </v>
      </c>
      <c r="C88" s="25" t="s">
        <v>199</v>
      </c>
      <c r="D88" s="33">
        <f>ROUND('Employer Allocations'!G127,8)</f>
        <v>0</v>
      </c>
      <c r="E88" s="4">
        <f>ROUND('Employer Allocations'!H127,8)</f>
        <v>9.5378500000000005E-3</v>
      </c>
      <c r="F88" s="4">
        <f>ROUND('Employer Allocations'!I127,8)</f>
        <v>9.5378500000000005E-3</v>
      </c>
      <c r="G88" s="4">
        <v>0</v>
      </c>
      <c r="H88" s="4">
        <v>9.4991499999999996E-3</v>
      </c>
      <c r="I88" s="4">
        <v>9.4991499999999996E-3</v>
      </c>
      <c r="J88" s="7">
        <f t="shared" si="50"/>
        <v>0</v>
      </c>
      <c r="K88" s="7">
        <f t="shared" si="51"/>
        <v>257357367</v>
      </c>
      <c r="L88" s="7">
        <f t="shared" si="59"/>
        <v>257357367</v>
      </c>
      <c r="M88" s="7"/>
      <c r="N88" s="7">
        <f t="shared" si="52"/>
        <v>0</v>
      </c>
      <c r="O88" s="32">
        <f t="shared" si="53"/>
        <v>0</v>
      </c>
      <c r="P88" s="32"/>
      <c r="Q88" s="32">
        <f t="shared" si="54"/>
        <v>18319898</v>
      </c>
      <c r="R88" s="32">
        <f t="shared" si="60"/>
        <v>18319898</v>
      </c>
      <c r="S88" s="32">
        <f t="shared" si="61"/>
        <v>0</v>
      </c>
      <c r="T88" s="32">
        <f t="shared" si="55"/>
        <v>0</v>
      </c>
      <c r="U88" s="32">
        <f t="shared" si="87"/>
        <v>0</v>
      </c>
      <c r="V88" s="32">
        <f t="shared" si="87"/>
        <v>0</v>
      </c>
      <c r="W88" s="32">
        <f t="shared" si="87"/>
        <v>0</v>
      </c>
      <c r="X88" s="32">
        <f t="shared" si="62"/>
        <v>0</v>
      </c>
      <c r="Y88" s="32"/>
      <c r="Z88" s="32">
        <f t="shared" si="87"/>
        <v>0</v>
      </c>
      <c r="AA88" s="32">
        <f t="shared" si="87"/>
        <v>0</v>
      </c>
      <c r="AB88" s="32">
        <f t="shared" si="87"/>
        <v>0</v>
      </c>
      <c r="AC88" s="32">
        <f t="shared" si="63"/>
        <v>0</v>
      </c>
      <c r="AD88" s="32"/>
      <c r="AE88" s="32">
        <f t="shared" si="87"/>
        <v>0</v>
      </c>
      <c r="AF88" s="32">
        <f t="shared" si="87"/>
        <v>0</v>
      </c>
      <c r="AG88" s="32">
        <f t="shared" si="87"/>
        <v>0</v>
      </c>
      <c r="AH88" s="32">
        <f t="shared" si="87"/>
        <v>0</v>
      </c>
      <c r="AI88" s="32">
        <f t="shared" si="87"/>
        <v>0</v>
      </c>
      <c r="AJ88" s="32">
        <f t="shared" si="87"/>
        <v>0</v>
      </c>
      <c r="AK88" s="7">
        <v>0</v>
      </c>
      <c r="AL88" s="32">
        <v>0</v>
      </c>
      <c r="AM88" s="32"/>
      <c r="AN88" s="4">
        <v>0</v>
      </c>
      <c r="AO88" s="32">
        <f t="shared" si="64"/>
        <v>0</v>
      </c>
      <c r="AP88" s="32">
        <f t="shared" si="65"/>
        <v>0</v>
      </c>
      <c r="AS88" s="32">
        <f t="shared" si="66"/>
        <v>0</v>
      </c>
      <c r="AT88" s="32">
        <f t="shared" si="56"/>
        <v>0</v>
      </c>
      <c r="AU88" s="32">
        <f t="shared" si="67"/>
        <v>0</v>
      </c>
      <c r="AV88" s="4">
        <f t="shared" si="68"/>
        <v>0</v>
      </c>
      <c r="AW88" s="32">
        <f t="shared" si="69"/>
        <v>0</v>
      </c>
      <c r="AX88" s="4">
        <f t="shared" si="70"/>
        <v>0</v>
      </c>
      <c r="AY88" s="32">
        <f t="shared" si="71"/>
        <v>0</v>
      </c>
      <c r="AZ88" s="4">
        <f t="shared" si="72"/>
        <v>0</v>
      </c>
      <c r="BA88" s="32">
        <f t="shared" si="73"/>
        <v>0</v>
      </c>
      <c r="BB88" s="32">
        <f t="shared" si="57"/>
        <v>0</v>
      </c>
      <c r="BC88" s="32">
        <f t="shared" si="74"/>
        <v>0</v>
      </c>
      <c r="BD88" s="32">
        <f t="shared" si="75"/>
        <v>0</v>
      </c>
      <c r="BF88" s="32">
        <f t="shared" si="76"/>
        <v>0</v>
      </c>
      <c r="BG88" s="32">
        <f t="shared" si="58"/>
        <v>0</v>
      </c>
      <c r="BH88" s="32">
        <f t="shared" si="77"/>
        <v>0</v>
      </c>
      <c r="BI88" s="4">
        <f t="shared" si="78"/>
        <v>0</v>
      </c>
      <c r="BJ88" s="32">
        <f t="shared" si="79"/>
        <v>0</v>
      </c>
      <c r="BK88" s="4">
        <f t="shared" si="80"/>
        <v>0</v>
      </c>
      <c r="BL88" s="32">
        <f t="shared" si="81"/>
        <v>0</v>
      </c>
      <c r="BM88" s="4">
        <f t="shared" si="82"/>
        <v>0</v>
      </c>
      <c r="BN88" s="32">
        <f t="shared" si="83"/>
        <v>0</v>
      </c>
      <c r="BO88" s="4">
        <f t="shared" si="84"/>
        <v>0</v>
      </c>
      <c r="BP88" s="32">
        <f t="shared" si="85"/>
        <v>0</v>
      </c>
      <c r="BQ88" s="32">
        <f t="shared" si="86"/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  <c r="DN88" s="4">
        <v>0</v>
      </c>
      <c r="DO88" s="4">
        <v>0</v>
      </c>
      <c r="DP88" s="4">
        <v>0</v>
      </c>
      <c r="DQ88" s="4">
        <v>0</v>
      </c>
    </row>
    <row r="89" spans="1:121" x14ac:dyDescent="0.35">
      <c r="A89" s="84">
        <f>'2017 Prop share of contribs'!A85</f>
        <v>80</v>
      </c>
      <c r="B89" s="84" t="str">
        <f>'2017 Prop share of contribs'!B85</f>
        <v xml:space="preserve">MCCREARY COUNTY SCHOOLS  </v>
      </c>
      <c r="C89" s="25" t="s">
        <v>200</v>
      </c>
      <c r="D89" s="33">
        <f>ROUND('Employer Allocations'!G128,8)</f>
        <v>0</v>
      </c>
      <c r="E89" s="4">
        <f>ROUND('Employer Allocations'!H128,8)</f>
        <v>3.6608299999999999E-3</v>
      </c>
      <c r="F89" s="4">
        <f>ROUND('Employer Allocations'!I128,8)</f>
        <v>3.6608299999999999E-3</v>
      </c>
      <c r="G89" s="4">
        <v>0</v>
      </c>
      <c r="H89" s="4">
        <v>3.7494999999999998E-3</v>
      </c>
      <c r="I89" s="4">
        <v>3.7494999999999998E-3</v>
      </c>
      <c r="J89" s="7">
        <f t="shared" si="50"/>
        <v>0</v>
      </c>
      <c r="K89" s="7">
        <f t="shared" si="51"/>
        <v>98779239</v>
      </c>
      <c r="L89" s="7">
        <f t="shared" si="59"/>
        <v>98779239</v>
      </c>
      <c r="M89" s="7"/>
      <c r="N89" s="7">
        <f t="shared" si="52"/>
        <v>0</v>
      </c>
      <c r="O89" s="32">
        <f t="shared" si="53"/>
        <v>0</v>
      </c>
      <c r="P89" s="32"/>
      <c r="Q89" s="32">
        <f t="shared" si="54"/>
        <v>7031567</v>
      </c>
      <c r="R89" s="32">
        <f t="shared" si="60"/>
        <v>7031567</v>
      </c>
      <c r="S89" s="32">
        <f t="shared" si="61"/>
        <v>0</v>
      </c>
      <c r="T89" s="32">
        <f t="shared" si="55"/>
        <v>0</v>
      </c>
      <c r="U89" s="32">
        <f t="shared" si="87"/>
        <v>0</v>
      </c>
      <c r="V89" s="32">
        <f t="shared" si="87"/>
        <v>0</v>
      </c>
      <c r="W89" s="32">
        <f t="shared" si="87"/>
        <v>0</v>
      </c>
      <c r="X89" s="32">
        <f t="shared" si="62"/>
        <v>0</v>
      </c>
      <c r="Y89" s="32"/>
      <c r="Z89" s="32">
        <f t="shared" si="87"/>
        <v>0</v>
      </c>
      <c r="AA89" s="32">
        <f t="shared" si="87"/>
        <v>0</v>
      </c>
      <c r="AB89" s="32">
        <f t="shared" si="87"/>
        <v>0</v>
      </c>
      <c r="AC89" s="32">
        <f t="shared" si="63"/>
        <v>0</v>
      </c>
      <c r="AD89" s="32"/>
      <c r="AE89" s="32">
        <f t="shared" si="87"/>
        <v>0</v>
      </c>
      <c r="AF89" s="32">
        <f t="shared" si="87"/>
        <v>0</v>
      </c>
      <c r="AG89" s="32">
        <f t="shared" si="87"/>
        <v>0</v>
      </c>
      <c r="AH89" s="32">
        <f t="shared" si="87"/>
        <v>0</v>
      </c>
      <c r="AI89" s="32">
        <f t="shared" si="87"/>
        <v>0</v>
      </c>
      <c r="AJ89" s="32">
        <f t="shared" si="87"/>
        <v>0</v>
      </c>
      <c r="AK89" s="7">
        <v>0</v>
      </c>
      <c r="AL89" s="32">
        <v>0</v>
      </c>
      <c r="AM89" s="32"/>
      <c r="AN89" s="4">
        <v>0</v>
      </c>
      <c r="AO89" s="32">
        <f t="shared" si="64"/>
        <v>0</v>
      </c>
      <c r="AP89" s="32">
        <f t="shared" si="65"/>
        <v>0</v>
      </c>
      <c r="AS89" s="32">
        <f t="shared" si="66"/>
        <v>0</v>
      </c>
      <c r="AT89" s="32">
        <f t="shared" si="56"/>
        <v>0</v>
      </c>
      <c r="AU89" s="32">
        <f t="shared" si="67"/>
        <v>0</v>
      </c>
      <c r="AV89" s="4">
        <f t="shared" si="68"/>
        <v>0</v>
      </c>
      <c r="AW89" s="32">
        <f t="shared" si="69"/>
        <v>0</v>
      </c>
      <c r="AX89" s="4">
        <f t="shared" si="70"/>
        <v>0</v>
      </c>
      <c r="AY89" s="32">
        <f t="shared" si="71"/>
        <v>0</v>
      </c>
      <c r="AZ89" s="4">
        <f t="shared" si="72"/>
        <v>0</v>
      </c>
      <c r="BA89" s="32">
        <f t="shared" si="73"/>
        <v>0</v>
      </c>
      <c r="BB89" s="32">
        <f t="shared" si="57"/>
        <v>0</v>
      </c>
      <c r="BC89" s="32">
        <f t="shared" si="74"/>
        <v>0</v>
      </c>
      <c r="BD89" s="32">
        <f t="shared" si="75"/>
        <v>0</v>
      </c>
      <c r="BF89" s="32">
        <f t="shared" si="76"/>
        <v>0</v>
      </c>
      <c r="BG89" s="32">
        <f t="shared" si="58"/>
        <v>0</v>
      </c>
      <c r="BH89" s="32">
        <f t="shared" si="77"/>
        <v>0</v>
      </c>
      <c r="BI89" s="4">
        <f t="shared" si="78"/>
        <v>0</v>
      </c>
      <c r="BJ89" s="32">
        <f t="shared" si="79"/>
        <v>0</v>
      </c>
      <c r="BK89" s="4">
        <f t="shared" si="80"/>
        <v>0</v>
      </c>
      <c r="BL89" s="32">
        <f t="shared" si="81"/>
        <v>0</v>
      </c>
      <c r="BM89" s="4">
        <f t="shared" si="82"/>
        <v>0</v>
      </c>
      <c r="BN89" s="32">
        <f t="shared" si="83"/>
        <v>0</v>
      </c>
      <c r="BO89" s="4">
        <f t="shared" si="84"/>
        <v>0</v>
      </c>
      <c r="BP89" s="32">
        <f t="shared" si="85"/>
        <v>0</v>
      </c>
      <c r="BQ89" s="32">
        <f t="shared" si="86"/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4">
        <v>0</v>
      </c>
      <c r="DN89" s="4">
        <v>0</v>
      </c>
      <c r="DO89" s="4">
        <v>0</v>
      </c>
      <c r="DP89" s="4">
        <v>0</v>
      </c>
      <c r="DQ89" s="4">
        <v>0</v>
      </c>
    </row>
    <row r="90" spans="1:121" x14ac:dyDescent="0.35">
      <c r="A90" s="84">
        <f>'2017 Prop share of contribs'!A86</f>
        <v>81</v>
      </c>
      <c r="B90" s="84" t="str">
        <f>'2017 Prop share of contribs'!B86</f>
        <v xml:space="preserve">MCLEAN COUNTY SCHOOLS  </v>
      </c>
      <c r="C90" s="25" t="s">
        <v>201</v>
      </c>
      <c r="D90" s="33">
        <f>ROUND('Employer Allocations'!G129,8)</f>
        <v>0</v>
      </c>
      <c r="E90" s="4">
        <f>ROUND('Employer Allocations'!H129,8)</f>
        <v>2.1086899999999999E-3</v>
      </c>
      <c r="F90" s="4">
        <f>ROUND('Employer Allocations'!I129,8)</f>
        <v>2.1086899999999999E-3</v>
      </c>
      <c r="G90" s="4">
        <v>0</v>
      </c>
      <c r="H90" s="4">
        <v>2.1323000000000002E-3</v>
      </c>
      <c r="I90" s="4">
        <v>2.1323000000000002E-3</v>
      </c>
      <c r="J90" s="7">
        <f t="shared" si="50"/>
        <v>0</v>
      </c>
      <c r="K90" s="7">
        <f t="shared" si="51"/>
        <v>56898243</v>
      </c>
      <c r="L90" s="7">
        <f t="shared" si="59"/>
        <v>56898243</v>
      </c>
      <c r="M90" s="7"/>
      <c r="N90" s="7">
        <f t="shared" si="52"/>
        <v>0</v>
      </c>
      <c r="O90" s="32">
        <f t="shared" si="53"/>
        <v>0</v>
      </c>
      <c r="P90" s="32"/>
      <c r="Q90" s="32">
        <f t="shared" si="54"/>
        <v>4050282</v>
      </c>
      <c r="R90" s="32">
        <f t="shared" si="60"/>
        <v>4050282</v>
      </c>
      <c r="S90" s="32">
        <f t="shared" si="61"/>
        <v>0</v>
      </c>
      <c r="T90" s="32">
        <f t="shared" si="55"/>
        <v>0</v>
      </c>
      <c r="U90" s="32">
        <f t="shared" ref="U90:AJ105" si="88">ROUND(U$2*$D90,0)</f>
        <v>0</v>
      </c>
      <c r="V90" s="32">
        <f t="shared" si="88"/>
        <v>0</v>
      </c>
      <c r="W90" s="32">
        <f t="shared" si="88"/>
        <v>0</v>
      </c>
      <c r="X90" s="32">
        <f t="shared" si="62"/>
        <v>0</v>
      </c>
      <c r="Y90" s="32"/>
      <c r="Z90" s="32">
        <f t="shared" si="88"/>
        <v>0</v>
      </c>
      <c r="AA90" s="32">
        <f t="shared" si="88"/>
        <v>0</v>
      </c>
      <c r="AB90" s="32">
        <f t="shared" si="88"/>
        <v>0</v>
      </c>
      <c r="AC90" s="32">
        <f t="shared" si="63"/>
        <v>0</v>
      </c>
      <c r="AD90" s="32"/>
      <c r="AE90" s="32">
        <f t="shared" si="88"/>
        <v>0</v>
      </c>
      <c r="AF90" s="32">
        <f t="shared" si="88"/>
        <v>0</v>
      </c>
      <c r="AG90" s="32">
        <f t="shared" si="88"/>
        <v>0</v>
      </c>
      <c r="AH90" s="32">
        <f t="shared" si="88"/>
        <v>0</v>
      </c>
      <c r="AI90" s="32">
        <f t="shared" si="88"/>
        <v>0</v>
      </c>
      <c r="AJ90" s="32">
        <f t="shared" si="87"/>
        <v>0</v>
      </c>
      <c r="AK90" s="7">
        <v>0</v>
      </c>
      <c r="AL90" s="32">
        <v>0</v>
      </c>
      <c r="AM90" s="32"/>
      <c r="AN90" s="4">
        <v>0</v>
      </c>
      <c r="AO90" s="32">
        <f t="shared" si="64"/>
        <v>0</v>
      </c>
      <c r="AP90" s="32">
        <f t="shared" si="65"/>
        <v>0</v>
      </c>
      <c r="AS90" s="32">
        <f t="shared" si="66"/>
        <v>0</v>
      </c>
      <c r="AT90" s="32">
        <f t="shared" si="56"/>
        <v>0</v>
      </c>
      <c r="AU90" s="32">
        <f t="shared" si="67"/>
        <v>0</v>
      </c>
      <c r="AV90" s="4">
        <f t="shared" si="68"/>
        <v>0</v>
      </c>
      <c r="AW90" s="32">
        <f t="shared" si="69"/>
        <v>0</v>
      </c>
      <c r="AX90" s="4">
        <f t="shared" si="70"/>
        <v>0</v>
      </c>
      <c r="AY90" s="32">
        <f t="shared" si="71"/>
        <v>0</v>
      </c>
      <c r="AZ90" s="4">
        <f t="shared" si="72"/>
        <v>0</v>
      </c>
      <c r="BA90" s="32">
        <f t="shared" si="73"/>
        <v>0</v>
      </c>
      <c r="BB90" s="32">
        <f t="shared" si="57"/>
        <v>0</v>
      </c>
      <c r="BC90" s="32">
        <f t="shared" si="74"/>
        <v>0</v>
      </c>
      <c r="BD90" s="32">
        <f t="shared" si="75"/>
        <v>0</v>
      </c>
      <c r="BF90" s="32">
        <f t="shared" si="76"/>
        <v>0</v>
      </c>
      <c r="BG90" s="32">
        <f t="shared" si="58"/>
        <v>0</v>
      </c>
      <c r="BH90" s="32">
        <f t="shared" si="77"/>
        <v>0</v>
      </c>
      <c r="BI90" s="4">
        <f t="shared" si="78"/>
        <v>0</v>
      </c>
      <c r="BJ90" s="32">
        <f t="shared" si="79"/>
        <v>0</v>
      </c>
      <c r="BK90" s="4">
        <f t="shared" si="80"/>
        <v>0</v>
      </c>
      <c r="BL90" s="32">
        <f t="shared" si="81"/>
        <v>0</v>
      </c>
      <c r="BM90" s="4">
        <f t="shared" si="82"/>
        <v>0</v>
      </c>
      <c r="BN90" s="32">
        <f t="shared" si="83"/>
        <v>0</v>
      </c>
      <c r="BO90" s="4">
        <f t="shared" si="84"/>
        <v>0</v>
      </c>
      <c r="BP90" s="32">
        <f t="shared" si="85"/>
        <v>0</v>
      </c>
      <c r="BQ90" s="32">
        <f t="shared" si="86"/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  <c r="DN90" s="4">
        <v>0</v>
      </c>
      <c r="DO90" s="4">
        <v>0</v>
      </c>
      <c r="DP90" s="4">
        <v>0</v>
      </c>
      <c r="DQ90" s="4">
        <v>0</v>
      </c>
    </row>
    <row r="91" spans="1:121" x14ac:dyDescent="0.35">
      <c r="A91" s="84">
        <f>'2017 Prop share of contribs'!A87</f>
        <v>82</v>
      </c>
      <c r="B91" s="84" t="str">
        <f>'2017 Prop share of contribs'!B87</f>
        <v xml:space="preserve">MEADE COUNTY SCHOOLS  </v>
      </c>
      <c r="C91" s="25" t="s">
        <v>202</v>
      </c>
      <c r="D91" s="33">
        <f>ROUND('Employer Allocations'!G130,8)</f>
        <v>0</v>
      </c>
      <c r="E91" s="4">
        <f>ROUND('Employer Allocations'!H130,8)</f>
        <v>5.81381E-3</v>
      </c>
      <c r="F91" s="4">
        <f>ROUND('Employer Allocations'!I130,8)</f>
        <v>5.81381E-3</v>
      </c>
      <c r="G91" s="4">
        <v>0</v>
      </c>
      <c r="H91" s="4">
        <v>5.8373399999999999E-3</v>
      </c>
      <c r="I91" s="4">
        <v>5.8373399999999999E-3</v>
      </c>
      <c r="J91" s="7">
        <f t="shared" si="50"/>
        <v>0</v>
      </c>
      <c r="K91" s="7">
        <f t="shared" si="51"/>
        <v>156872548</v>
      </c>
      <c r="L91" s="7">
        <f t="shared" si="59"/>
        <v>156872548</v>
      </c>
      <c r="M91" s="7"/>
      <c r="N91" s="7">
        <f t="shared" si="52"/>
        <v>0</v>
      </c>
      <c r="O91" s="32">
        <f t="shared" si="53"/>
        <v>0</v>
      </c>
      <c r="P91" s="32"/>
      <c r="Q91" s="32">
        <f t="shared" si="54"/>
        <v>11166920</v>
      </c>
      <c r="R91" s="32">
        <f t="shared" si="60"/>
        <v>11166920</v>
      </c>
      <c r="S91" s="32">
        <f t="shared" si="61"/>
        <v>0</v>
      </c>
      <c r="T91" s="32">
        <f t="shared" si="55"/>
        <v>0</v>
      </c>
      <c r="U91" s="32">
        <f t="shared" si="88"/>
        <v>0</v>
      </c>
      <c r="V91" s="32">
        <f t="shared" si="88"/>
        <v>0</v>
      </c>
      <c r="W91" s="32">
        <f t="shared" si="88"/>
        <v>0</v>
      </c>
      <c r="X91" s="32">
        <f t="shared" si="62"/>
        <v>0</v>
      </c>
      <c r="Y91" s="32"/>
      <c r="Z91" s="32">
        <f t="shared" si="88"/>
        <v>0</v>
      </c>
      <c r="AA91" s="32">
        <f t="shared" si="88"/>
        <v>0</v>
      </c>
      <c r="AB91" s="32">
        <f t="shared" si="88"/>
        <v>0</v>
      </c>
      <c r="AC91" s="32">
        <f t="shared" si="63"/>
        <v>0</v>
      </c>
      <c r="AD91" s="32"/>
      <c r="AE91" s="32">
        <f t="shared" si="88"/>
        <v>0</v>
      </c>
      <c r="AF91" s="32">
        <f t="shared" si="88"/>
        <v>0</v>
      </c>
      <c r="AG91" s="32">
        <f t="shared" si="88"/>
        <v>0</v>
      </c>
      <c r="AH91" s="32">
        <f t="shared" si="88"/>
        <v>0</v>
      </c>
      <c r="AI91" s="32">
        <f t="shared" si="88"/>
        <v>0</v>
      </c>
      <c r="AJ91" s="32">
        <f t="shared" si="87"/>
        <v>0</v>
      </c>
      <c r="AK91" s="7">
        <v>0</v>
      </c>
      <c r="AL91" s="32">
        <v>0</v>
      </c>
      <c r="AM91" s="32"/>
      <c r="AN91" s="4">
        <v>0</v>
      </c>
      <c r="AO91" s="32">
        <f t="shared" si="64"/>
        <v>0</v>
      </c>
      <c r="AP91" s="32">
        <f t="shared" si="65"/>
        <v>0</v>
      </c>
      <c r="AS91" s="32">
        <f t="shared" si="66"/>
        <v>0</v>
      </c>
      <c r="AT91" s="32">
        <f t="shared" si="56"/>
        <v>0</v>
      </c>
      <c r="AU91" s="32">
        <f t="shared" si="67"/>
        <v>0</v>
      </c>
      <c r="AV91" s="4">
        <f t="shared" si="68"/>
        <v>0</v>
      </c>
      <c r="AW91" s="32">
        <f t="shared" si="69"/>
        <v>0</v>
      </c>
      <c r="AX91" s="4">
        <f t="shared" si="70"/>
        <v>0</v>
      </c>
      <c r="AY91" s="32">
        <f t="shared" si="71"/>
        <v>0</v>
      </c>
      <c r="AZ91" s="4">
        <f t="shared" si="72"/>
        <v>0</v>
      </c>
      <c r="BA91" s="32">
        <f t="shared" si="73"/>
        <v>0</v>
      </c>
      <c r="BB91" s="32">
        <f t="shared" si="57"/>
        <v>0</v>
      </c>
      <c r="BC91" s="32">
        <f t="shared" si="74"/>
        <v>0</v>
      </c>
      <c r="BD91" s="32">
        <f t="shared" si="75"/>
        <v>0</v>
      </c>
      <c r="BF91" s="32">
        <f t="shared" si="76"/>
        <v>0</v>
      </c>
      <c r="BG91" s="32">
        <f t="shared" si="58"/>
        <v>0</v>
      </c>
      <c r="BH91" s="32">
        <f t="shared" si="77"/>
        <v>0</v>
      </c>
      <c r="BI91" s="4">
        <f t="shared" si="78"/>
        <v>0</v>
      </c>
      <c r="BJ91" s="32">
        <f t="shared" si="79"/>
        <v>0</v>
      </c>
      <c r="BK91" s="4">
        <f t="shared" si="80"/>
        <v>0</v>
      </c>
      <c r="BL91" s="32">
        <f t="shared" si="81"/>
        <v>0</v>
      </c>
      <c r="BM91" s="4">
        <f t="shared" si="82"/>
        <v>0</v>
      </c>
      <c r="BN91" s="32">
        <f t="shared" si="83"/>
        <v>0</v>
      </c>
      <c r="BO91" s="4">
        <f t="shared" si="84"/>
        <v>0</v>
      </c>
      <c r="BP91" s="32">
        <f t="shared" si="85"/>
        <v>0</v>
      </c>
      <c r="BQ91" s="32">
        <f t="shared" si="86"/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  <c r="DN91" s="4">
        <v>0</v>
      </c>
      <c r="DO91" s="4">
        <v>0</v>
      </c>
      <c r="DP91" s="4">
        <v>0</v>
      </c>
      <c r="DQ91" s="4">
        <v>0</v>
      </c>
    </row>
    <row r="92" spans="1:121" x14ac:dyDescent="0.35">
      <c r="A92" s="84">
        <f>'2017 Prop share of contribs'!A88</f>
        <v>83</v>
      </c>
      <c r="B92" s="84" t="str">
        <f>'2017 Prop share of contribs'!B88</f>
        <v xml:space="preserve">MENIFEE COUNTY SCHOOLS  </v>
      </c>
      <c r="C92" s="25" t="s">
        <v>203</v>
      </c>
      <c r="D92" s="33">
        <f>ROUND('Employer Allocations'!G131,8)</f>
        <v>0</v>
      </c>
      <c r="E92" s="4">
        <f>ROUND('Employer Allocations'!H131,8)</f>
        <v>1.1816400000000001E-3</v>
      </c>
      <c r="F92" s="4">
        <f>ROUND('Employer Allocations'!I131,8)</f>
        <v>1.1816400000000001E-3</v>
      </c>
      <c r="G92" s="4">
        <v>0</v>
      </c>
      <c r="H92" s="4">
        <v>1.2085399999999999E-3</v>
      </c>
      <c r="I92" s="4">
        <v>1.2085399999999999E-3</v>
      </c>
      <c r="J92" s="7">
        <f t="shared" si="50"/>
        <v>0</v>
      </c>
      <c r="K92" s="7">
        <f t="shared" si="51"/>
        <v>31883890</v>
      </c>
      <c r="L92" s="7">
        <f t="shared" si="59"/>
        <v>31883890</v>
      </c>
      <c r="M92" s="7"/>
      <c r="N92" s="7">
        <f t="shared" si="52"/>
        <v>0</v>
      </c>
      <c r="O92" s="32">
        <f t="shared" si="53"/>
        <v>0</v>
      </c>
      <c r="P92" s="32"/>
      <c r="Q92" s="32">
        <f t="shared" si="54"/>
        <v>2269644</v>
      </c>
      <c r="R92" s="32">
        <f t="shared" si="60"/>
        <v>2269644</v>
      </c>
      <c r="S92" s="32">
        <f t="shared" si="61"/>
        <v>0</v>
      </c>
      <c r="T92" s="32">
        <f t="shared" si="55"/>
        <v>0</v>
      </c>
      <c r="U92" s="32">
        <f t="shared" si="88"/>
        <v>0</v>
      </c>
      <c r="V92" s="32">
        <f t="shared" si="88"/>
        <v>0</v>
      </c>
      <c r="W92" s="32">
        <f t="shared" si="88"/>
        <v>0</v>
      </c>
      <c r="X92" s="32">
        <f t="shared" si="62"/>
        <v>0</v>
      </c>
      <c r="Y92" s="32"/>
      <c r="Z92" s="32">
        <f t="shared" si="88"/>
        <v>0</v>
      </c>
      <c r="AA92" s="32">
        <f t="shared" si="88"/>
        <v>0</v>
      </c>
      <c r="AB92" s="32">
        <f t="shared" si="88"/>
        <v>0</v>
      </c>
      <c r="AC92" s="32">
        <f t="shared" si="63"/>
        <v>0</v>
      </c>
      <c r="AD92" s="32"/>
      <c r="AE92" s="32">
        <f t="shared" si="88"/>
        <v>0</v>
      </c>
      <c r="AF92" s="32">
        <f t="shared" si="88"/>
        <v>0</v>
      </c>
      <c r="AG92" s="32">
        <f t="shared" si="88"/>
        <v>0</v>
      </c>
      <c r="AH92" s="32">
        <f t="shared" si="88"/>
        <v>0</v>
      </c>
      <c r="AI92" s="32">
        <f t="shared" si="88"/>
        <v>0</v>
      </c>
      <c r="AJ92" s="32">
        <f t="shared" si="87"/>
        <v>0</v>
      </c>
      <c r="AK92" s="7">
        <v>0</v>
      </c>
      <c r="AL92" s="32">
        <v>0</v>
      </c>
      <c r="AM92" s="32"/>
      <c r="AN92" s="4">
        <v>0</v>
      </c>
      <c r="AO92" s="32">
        <f t="shared" si="64"/>
        <v>0</v>
      </c>
      <c r="AP92" s="32">
        <f t="shared" si="65"/>
        <v>0</v>
      </c>
      <c r="AS92" s="32">
        <f t="shared" si="66"/>
        <v>0</v>
      </c>
      <c r="AT92" s="32">
        <f t="shared" si="56"/>
        <v>0</v>
      </c>
      <c r="AU92" s="32">
        <f t="shared" si="67"/>
        <v>0</v>
      </c>
      <c r="AV92" s="4">
        <f t="shared" si="68"/>
        <v>0</v>
      </c>
      <c r="AW92" s="32">
        <f t="shared" si="69"/>
        <v>0</v>
      </c>
      <c r="AX92" s="4">
        <f t="shared" si="70"/>
        <v>0</v>
      </c>
      <c r="AY92" s="32">
        <f t="shared" si="71"/>
        <v>0</v>
      </c>
      <c r="AZ92" s="4">
        <f t="shared" si="72"/>
        <v>0</v>
      </c>
      <c r="BA92" s="32">
        <f t="shared" si="73"/>
        <v>0</v>
      </c>
      <c r="BB92" s="32">
        <f t="shared" si="57"/>
        <v>0</v>
      </c>
      <c r="BC92" s="32">
        <f t="shared" si="74"/>
        <v>0</v>
      </c>
      <c r="BD92" s="32">
        <f t="shared" si="75"/>
        <v>0</v>
      </c>
      <c r="BF92" s="32">
        <f t="shared" si="76"/>
        <v>0</v>
      </c>
      <c r="BG92" s="32">
        <f t="shared" si="58"/>
        <v>0</v>
      </c>
      <c r="BH92" s="32">
        <f t="shared" si="77"/>
        <v>0</v>
      </c>
      <c r="BI92" s="4">
        <f t="shared" si="78"/>
        <v>0</v>
      </c>
      <c r="BJ92" s="32">
        <f t="shared" si="79"/>
        <v>0</v>
      </c>
      <c r="BK92" s="4">
        <f t="shared" si="80"/>
        <v>0</v>
      </c>
      <c r="BL92" s="32">
        <f t="shared" si="81"/>
        <v>0</v>
      </c>
      <c r="BM92" s="4">
        <f t="shared" si="82"/>
        <v>0</v>
      </c>
      <c r="BN92" s="32">
        <f t="shared" si="83"/>
        <v>0</v>
      </c>
      <c r="BO92" s="4">
        <f t="shared" si="84"/>
        <v>0</v>
      </c>
      <c r="BP92" s="32">
        <f t="shared" si="85"/>
        <v>0</v>
      </c>
      <c r="BQ92" s="32">
        <f t="shared" si="86"/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  <c r="DO92" s="4">
        <v>0</v>
      </c>
      <c r="DP92" s="4">
        <v>0</v>
      </c>
      <c r="DQ92" s="4">
        <v>0</v>
      </c>
    </row>
    <row r="93" spans="1:121" x14ac:dyDescent="0.35">
      <c r="A93" s="84">
        <f>'2017 Prop share of contribs'!A89</f>
        <v>84</v>
      </c>
      <c r="B93" s="84" t="str">
        <f>'2017 Prop share of contribs'!B89</f>
        <v xml:space="preserve">MERCER COUNTY SCHOOLS  </v>
      </c>
      <c r="C93" s="25" t="s">
        <v>204</v>
      </c>
      <c r="D93" s="33">
        <f>ROUND('Employer Allocations'!G132,8)</f>
        <v>0</v>
      </c>
      <c r="E93" s="4">
        <f>ROUND('Employer Allocations'!H132,8)</f>
        <v>4.0290600000000001E-3</v>
      </c>
      <c r="F93" s="4">
        <f>ROUND('Employer Allocations'!I132,8)</f>
        <v>4.0290600000000001E-3</v>
      </c>
      <c r="G93" s="4">
        <v>0</v>
      </c>
      <c r="H93" s="4">
        <v>3.98599E-3</v>
      </c>
      <c r="I93" s="4">
        <v>3.98599E-3</v>
      </c>
      <c r="J93" s="7">
        <f t="shared" si="50"/>
        <v>0</v>
      </c>
      <c r="K93" s="7">
        <f t="shared" si="51"/>
        <v>108715095</v>
      </c>
      <c r="L93" s="7">
        <f t="shared" si="59"/>
        <v>108715095</v>
      </c>
      <c r="M93" s="7"/>
      <c r="N93" s="7">
        <f t="shared" si="52"/>
        <v>0</v>
      </c>
      <c r="O93" s="32">
        <f t="shared" si="53"/>
        <v>0</v>
      </c>
      <c r="P93" s="32"/>
      <c r="Q93" s="32">
        <f t="shared" si="54"/>
        <v>7738848</v>
      </c>
      <c r="R93" s="32">
        <f t="shared" si="60"/>
        <v>7738848</v>
      </c>
      <c r="S93" s="32">
        <f t="shared" si="61"/>
        <v>0</v>
      </c>
      <c r="T93" s="32">
        <f t="shared" si="55"/>
        <v>0</v>
      </c>
      <c r="U93" s="32">
        <f t="shared" si="88"/>
        <v>0</v>
      </c>
      <c r="V93" s="32">
        <f t="shared" si="88"/>
        <v>0</v>
      </c>
      <c r="W93" s="32">
        <f t="shared" si="88"/>
        <v>0</v>
      </c>
      <c r="X93" s="32">
        <f t="shared" si="62"/>
        <v>0</v>
      </c>
      <c r="Y93" s="32"/>
      <c r="Z93" s="32">
        <f t="shared" si="88"/>
        <v>0</v>
      </c>
      <c r="AA93" s="32">
        <f t="shared" si="88"/>
        <v>0</v>
      </c>
      <c r="AB93" s="32">
        <f t="shared" si="88"/>
        <v>0</v>
      </c>
      <c r="AC93" s="32">
        <f t="shared" si="63"/>
        <v>0</v>
      </c>
      <c r="AD93" s="32"/>
      <c r="AE93" s="32">
        <f t="shared" si="88"/>
        <v>0</v>
      </c>
      <c r="AF93" s="32">
        <f t="shared" si="88"/>
        <v>0</v>
      </c>
      <c r="AG93" s="32">
        <f t="shared" si="88"/>
        <v>0</v>
      </c>
      <c r="AH93" s="32">
        <f t="shared" si="88"/>
        <v>0</v>
      </c>
      <c r="AI93" s="32">
        <f t="shared" si="88"/>
        <v>0</v>
      </c>
      <c r="AJ93" s="32">
        <f t="shared" si="87"/>
        <v>0</v>
      </c>
      <c r="AK93" s="7">
        <v>0</v>
      </c>
      <c r="AL93" s="32">
        <v>0</v>
      </c>
      <c r="AM93" s="32"/>
      <c r="AN93" s="4">
        <v>0</v>
      </c>
      <c r="AO93" s="32">
        <f t="shared" si="64"/>
        <v>0</v>
      </c>
      <c r="AP93" s="32">
        <f t="shared" si="65"/>
        <v>0</v>
      </c>
      <c r="AS93" s="32">
        <f t="shared" si="66"/>
        <v>0</v>
      </c>
      <c r="AT93" s="32">
        <f t="shared" si="56"/>
        <v>0</v>
      </c>
      <c r="AU93" s="32">
        <f t="shared" si="67"/>
        <v>0</v>
      </c>
      <c r="AV93" s="4">
        <f t="shared" si="68"/>
        <v>0</v>
      </c>
      <c r="AW93" s="32">
        <f t="shared" si="69"/>
        <v>0</v>
      </c>
      <c r="AX93" s="4">
        <f t="shared" si="70"/>
        <v>0</v>
      </c>
      <c r="AY93" s="32">
        <f t="shared" si="71"/>
        <v>0</v>
      </c>
      <c r="AZ93" s="4">
        <f t="shared" si="72"/>
        <v>0</v>
      </c>
      <c r="BA93" s="32">
        <f t="shared" si="73"/>
        <v>0</v>
      </c>
      <c r="BB93" s="32">
        <f t="shared" si="57"/>
        <v>0</v>
      </c>
      <c r="BC93" s="32">
        <f t="shared" si="74"/>
        <v>0</v>
      </c>
      <c r="BD93" s="32">
        <f t="shared" si="75"/>
        <v>0</v>
      </c>
      <c r="BF93" s="32">
        <f t="shared" si="76"/>
        <v>0</v>
      </c>
      <c r="BG93" s="32">
        <f t="shared" si="58"/>
        <v>0</v>
      </c>
      <c r="BH93" s="32">
        <f t="shared" si="77"/>
        <v>0</v>
      </c>
      <c r="BI93" s="4">
        <f t="shared" si="78"/>
        <v>0</v>
      </c>
      <c r="BJ93" s="32">
        <f t="shared" si="79"/>
        <v>0</v>
      </c>
      <c r="BK93" s="4">
        <f t="shared" si="80"/>
        <v>0</v>
      </c>
      <c r="BL93" s="32">
        <f t="shared" si="81"/>
        <v>0</v>
      </c>
      <c r="BM93" s="4">
        <f t="shared" si="82"/>
        <v>0</v>
      </c>
      <c r="BN93" s="32">
        <f t="shared" si="83"/>
        <v>0</v>
      </c>
      <c r="BO93" s="4">
        <f t="shared" si="84"/>
        <v>0</v>
      </c>
      <c r="BP93" s="32">
        <f t="shared" si="85"/>
        <v>0</v>
      </c>
      <c r="BQ93" s="32">
        <f t="shared" si="86"/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  <c r="DO93" s="4">
        <v>0</v>
      </c>
      <c r="DP93" s="4">
        <v>0</v>
      </c>
      <c r="DQ93" s="4">
        <v>0</v>
      </c>
    </row>
    <row r="94" spans="1:121" x14ac:dyDescent="0.35">
      <c r="A94" s="84">
        <f>'2017 Prop share of contribs'!A90</f>
        <v>85</v>
      </c>
      <c r="B94" s="84" t="str">
        <f>'2017 Prop share of contribs'!B90</f>
        <v xml:space="preserve">METCALFE COUNTY SCHOOLS  </v>
      </c>
      <c r="C94" s="25" t="s">
        <v>205</v>
      </c>
      <c r="D94" s="33">
        <f>ROUND('Employer Allocations'!G133,8)</f>
        <v>0</v>
      </c>
      <c r="E94" s="4">
        <f>ROUND('Employer Allocations'!H133,8)</f>
        <v>2.0740799999999998E-3</v>
      </c>
      <c r="F94" s="4">
        <f>ROUND('Employer Allocations'!I133,8)</f>
        <v>2.0740799999999998E-3</v>
      </c>
      <c r="G94" s="4">
        <v>0</v>
      </c>
      <c r="H94" s="4">
        <v>1.9953599999999998E-3</v>
      </c>
      <c r="I94" s="4">
        <v>1.9953599999999998E-3</v>
      </c>
      <c r="J94" s="7">
        <f t="shared" si="50"/>
        <v>0</v>
      </c>
      <c r="K94" s="7">
        <f t="shared" si="51"/>
        <v>55964370</v>
      </c>
      <c r="L94" s="7">
        <f t="shared" si="59"/>
        <v>55964370</v>
      </c>
      <c r="M94" s="7"/>
      <c r="N94" s="7">
        <f t="shared" si="52"/>
        <v>0</v>
      </c>
      <c r="O94" s="32">
        <f t="shared" si="53"/>
        <v>0</v>
      </c>
      <c r="P94" s="32"/>
      <c r="Q94" s="32">
        <f t="shared" si="54"/>
        <v>3983805</v>
      </c>
      <c r="R94" s="32">
        <f t="shared" si="60"/>
        <v>3983805</v>
      </c>
      <c r="S94" s="32">
        <f t="shared" si="61"/>
        <v>0</v>
      </c>
      <c r="T94" s="32">
        <f t="shared" si="55"/>
        <v>0</v>
      </c>
      <c r="U94" s="32">
        <f t="shared" si="88"/>
        <v>0</v>
      </c>
      <c r="V94" s="32">
        <f t="shared" si="88"/>
        <v>0</v>
      </c>
      <c r="W94" s="32">
        <f t="shared" si="88"/>
        <v>0</v>
      </c>
      <c r="X94" s="32">
        <f t="shared" si="62"/>
        <v>0</v>
      </c>
      <c r="Y94" s="32"/>
      <c r="Z94" s="32">
        <f t="shared" si="88"/>
        <v>0</v>
      </c>
      <c r="AA94" s="32">
        <f t="shared" si="88"/>
        <v>0</v>
      </c>
      <c r="AB94" s="32">
        <f t="shared" si="88"/>
        <v>0</v>
      </c>
      <c r="AC94" s="32">
        <f t="shared" si="63"/>
        <v>0</v>
      </c>
      <c r="AD94" s="32"/>
      <c r="AE94" s="32">
        <f t="shared" si="88"/>
        <v>0</v>
      </c>
      <c r="AF94" s="32">
        <f t="shared" si="88"/>
        <v>0</v>
      </c>
      <c r="AG94" s="32">
        <f t="shared" si="88"/>
        <v>0</v>
      </c>
      <c r="AH94" s="32">
        <f t="shared" si="88"/>
        <v>0</v>
      </c>
      <c r="AI94" s="32">
        <f t="shared" si="88"/>
        <v>0</v>
      </c>
      <c r="AJ94" s="32">
        <f t="shared" si="87"/>
        <v>0</v>
      </c>
      <c r="AK94" s="7">
        <v>0</v>
      </c>
      <c r="AL94" s="32">
        <v>0</v>
      </c>
      <c r="AM94" s="32"/>
      <c r="AN94" s="4">
        <v>0</v>
      </c>
      <c r="AO94" s="32">
        <f t="shared" si="64"/>
        <v>0</v>
      </c>
      <c r="AP94" s="32">
        <f t="shared" si="65"/>
        <v>0</v>
      </c>
      <c r="AS94" s="32">
        <f t="shared" si="66"/>
        <v>0</v>
      </c>
      <c r="AT94" s="32">
        <f t="shared" si="56"/>
        <v>0</v>
      </c>
      <c r="AU94" s="32">
        <f t="shared" si="67"/>
        <v>0</v>
      </c>
      <c r="AV94" s="4">
        <f t="shared" si="68"/>
        <v>0</v>
      </c>
      <c r="AW94" s="32">
        <f t="shared" si="69"/>
        <v>0</v>
      </c>
      <c r="AX94" s="4">
        <f t="shared" si="70"/>
        <v>0</v>
      </c>
      <c r="AY94" s="32">
        <f t="shared" si="71"/>
        <v>0</v>
      </c>
      <c r="AZ94" s="4">
        <f t="shared" si="72"/>
        <v>0</v>
      </c>
      <c r="BA94" s="32">
        <f t="shared" si="73"/>
        <v>0</v>
      </c>
      <c r="BB94" s="32">
        <f t="shared" si="57"/>
        <v>0</v>
      </c>
      <c r="BC94" s="32">
        <f t="shared" si="74"/>
        <v>0</v>
      </c>
      <c r="BD94" s="32">
        <f t="shared" si="75"/>
        <v>0</v>
      </c>
      <c r="BF94" s="32">
        <f t="shared" si="76"/>
        <v>0</v>
      </c>
      <c r="BG94" s="32">
        <f t="shared" si="58"/>
        <v>0</v>
      </c>
      <c r="BH94" s="32">
        <f t="shared" si="77"/>
        <v>0</v>
      </c>
      <c r="BI94" s="4">
        <f t="shared" si="78"/>
        <v>0</v>
      </c>
      <c r="BJ94" s="32">
        <f t="shared" si="79"/>
        <v>0</v>
      </c>
      <c r="BK94" s="4">
        <f t="shared" si="80"/>
        <v>0</v>
      </c>
      <c r="BL94" s="32">
        <f t="shared" si="81"/>
        <v>0</v>
      </c>
      <c r="BM94" s="4">
        <f t="shared" si="82"/>
        <v>0</v>
      </c>
      <c r="BN94" s="32">
        <f t="shared" si="83"/>
        <v>0</v>
      </c>
      <c r="BO94" s="4">
        <f t="shared" si="84"/>
        <v>0</v>
      </c>
      <c r="BP94" s="32">
        <f t="shared" si="85"/>
        <v>0</v>
      </c>
      <c r="BQ94" s="32">
        <f t="shared" si="86"/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  <c r="DO94" s="4">
        <v>0</v>
      </c>
      <c r="DP94" s="4">
        <v>0</v>
      </c>
      <c r="DQ94" s="4">
        <v>0</v>
      </c>
    </row>
    <row r="95" spans="1:121" x14ac:dyDescent="0.35">
      <c r="A95" s="84">
        <f>'2017 Prop share of contribs'!A91</f>
        <v>86</v>
      </c>
      <c r="B95" s="84" t="str">
        <f>'2017 Prop share of contribs'!B91</f>
        <v xml:space="preserve">MONROE COUNTY SCHOOLS  </v>
      </c>
      <c r="C95" s="25" t="s">
        <v>206</v>
      </c>
      <c r="D95" s="33">
        <f>ROUND('Employer Allocations'!G134,8)</f>
        <v>0</v>
      </c>
      <c r="E95" s="4">
        <f>ROUND('Employer Allocations'!H134,8)</f>
        <v>2.4930299999999998E-3</v>
      </c>
      <c r="F95" s="4">
        <f>ROUND('Employer Allocations'!I134,8)</f>
        <v>2.4930299999999998E-3</v>
      </c>
      <c r="G95" s="4">
        <v>0</v>
      </c>
      <c r="H95" s="4">
        <v>2.52988E-3</v>
      </c>
      <c r="I95" s="4">
        <v>2.52988E-3</v>
      </c>
      <c r="J95" s="7">
        <f t="shared" si="50"/>
        <v>0</v>
      </c>
      <c r="K95" s="7">
        <f t="shared" si="51"/>
        <v>67268791</v>
      </c>
      <c r="L95" s="7">
        <f t="shared" si="59"/>
        <v>67268791</v>
      </c>
      <c r="M95" s="7"/>
      <c r="N95" s="7">
        <f t="shared" si="52"/>
        <v>0</v>
      </c>
      <c r="O95" s="32">
        <f t="shared" si="53"/>
        <v>0</v>
      </c>
      <c r="P95" s="32"/>
      <c r="Q95" s="32">
        <f t="shared" si="54"/>
        <v>4788506</v>
      </c>
      <c r="R95" s="32">
        <f t="shared" si="60"/>
        <v>4788506</v>
      </c>
      <c r="S95" s="32">
        <f t="shared" si="61"/>
        <v>0</v>
      </c>
      <c r="T95" s="32">
        <f t="shared" si="55"/>
        <v>0</v>
      </c>
      <c r="U95" s="32">
        <f t="shared" si="88"/>
        <v>0</v>
      </c>
      <c r="V95" s="32">
        <f t="shared" si="88"/>
        <v>0</v>
      </c>
      <c r="W95" s="32">
        <f t="shared" si="88"/>
        <v>0</v>
      </c>
      <c r="X95" s="32">
        <f t="shared" si="62"/>
        <v>0</v>
      </c>
      <c r="Y95" s="32"/>
      <c r="Z95" s="32">
        <f t="shared" si="88"/>
        <v>0</v>
      </c>
      <c r="AA95" s="32">
        <f t="shared" si="88"/>
        <v>0</v>
      </c>
      <c r="AB95" s="32">
        <f t="shared" si="88"/>
        <v>0</v>
      </c>
      <c r="AC95" s="32">
        <f t="shared" si="63"/>
        <v>0</v>
      </c>
      <c r="AD95" s="32"/>
      <c r="AE95" s="32">
        <f t="shared" si="88"/>
        <v>0</v>
      </c>
      <c r="AF95" s="32">
        <f t="shared" si="88"/>
        <v>0</v>
      </c>
      <c r="AG95" s="32">
        <f t="shared" si="88"/>
        <v>0</v>
      </c>
      <c r="AH95" s="32">
        <f t="shared" si="88"/>
        <v>0</v>
      </c>
      <c r="AI95" s="32">
        <f t="shared" si="88"/>
        <v>0</v>
      </c>
      <c r="AJ95" s="32">
        <f t="shared" si="87"/>
        <v>0</v>
      </c>
      <c r="AK95" s="7">
        <v>0</v>
      </c>
      <c r="AL95" s="32">
        <v>0</v>
      </c>
      <c r="AM95" s="32"/>
      <c r="AN95" s="4">
        <v>0</v>
      </c>
      <c r="AO95" s="32">
        <f t="shared" si="64"/>
        <v>0</v>
      </c>
      <c r="AP95" s="32">
        <f t="shared" si="65"/>
        <v>0</v>
      </c>
      <c r="AS95" s="32">
        <f t="shared" si="66"/>
        <v>0</v>
      </c>
      <c r="AT95" s="32">
        <f t="shared" si="56"/>
        <v>0</v>
      </c>
      <c r="AU95" s="32">
        <f t="shared" si="67"/>
        <v>0</v>
      </c>
      <c r="AV95" s="4">
        <f t="shared" si="68"/>
        <v>0</v>
      </c>
      <c r="AW95" s="32">
        <f t="shared" si="69"/>
        <v>0</v>
      </c>
      <c r="AX95" s="4">
        <f t="shared" si="70"/>
        <v>0</v>
      </c>
      <c r="AY95" s="32">
        <f t="shared" si="71"/>
        <v>0</v>
      </c>
      <c r="AZ95" s="4">
        <f t="shared" si="72"/>
        <v>0</v>
      </c>
      <c r="BA95" s="32">
        <f t="shared" si="73"/>
        <v>0</v>
      </c>
      <c r="BB95" s="32">
        <f t="shared" si="57"/>
        <v>0</v>
      </c>
      <c r="BC95" s="32">
        <f t="shared" si="74"/>
        <v>0</v>
      </c>
      <c r="BD95" s="32">
        <f t="shared" si="75"/>
        <v>0</v>
      </c>
      <c r="BF95" s="32">
        <f t="shared" si="76"/>
        <v>0</v>
      </c>
      <c r="BG95" s="32">
        <f t="shared" si="58"/>
        <v>0</v>
      </c>
      <c r="BH95" s="32">
        <f t="shared" si="77"/>
        <v>0</v>
      </c>
      <c r="BI95" s="4">
        <f t="shared" si="78"/>
        <v>0</v>
      </c>
      <c r="BJ95" s="32">
        <f t="shared" si="79"/>
        <v>0</v>
      </c>
      <c r="BK95" s="4">
        <f t="shared" si="80"/>
        <v>0</v>
      </c>
      <c r="BL95" s="32">
        <f t="shared" si="81"/>
        <v>0</v>
      </c>
      <c r="BM95" s="4">
        <f t="shared" si="82"/>
        <v>0</v>
      </c>
      <c r="BN95" s="32">
        <f t="shared" si="83"/>
        <v>0</v>
      </c>
      <c r="BO95" s="4">
        <f t="shared" si="84"/>
        <v>0</v>
      </c>
      <c r="BP95" s="32">
        <f t="shared" si="85"/>
        <v>0</v>
      </c>
      <c r="BQ95" s="32">
        <f t="shared" si="86"/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</row>
    <row r="96" spans="1:121" x14ac:dyDescent="0.35">
      <c r="A96" s="84">
        <f>'2017 Prop share of contribs'!A92</f>
        <v>87</v>
      </c>
      <c r="B96" s="84" t="str">
        <f>'2017 Prop share of contribs'!B92</f>
        <v xml:space="preserve">MONTGOMERY COUNTY SCHOOLS  </v>
      </c>
      <c r="C96" s="25" t="s">
        <v>207</v>
      </c>
      <c r="D96" s="33">
        <f>ROUND('Employer Allocations'!G135,8)</f>
        <v>0</v>
      </c>
      <c r="E96" s="4">
        <f>ROUND('Employer Allocations'!H135,8)</f>
        <v>6.4032999999999998E-3</v>
      </c>
      <c r="F96" s="4">
        <f>ROUND('Employer Allocations'!I135,8)</f>
        <v>6.4032999999999998E-3</v>
      </c>
      <c r="G96" s="4">
        <v>0</v>
      </c>
      <c r="H96" s="4">
        <v>6.3842100000000004E-3</v>
      </c>
      <c r="I96" s="4">
        <v>6.3842100000000004E-3</v>
      </c>
      <c r="J96" s="7">
        <f t="shared" si="50"/>
        <v>0</v>
      </c>
      <c r="K96" s="7">
        <f t="shared" si="51"/>
        <v>172778606</v>
      </c>
      <c r="L96" s="7">
        <f t="shared" si="59"/>
        <v>172778606</v>
      </c>
      <c r="M96" s="7"/>
      <c r="N96" s="7">
        <f t="shared" si="52"/>
        <v>0</v>
      </c>
      <c r="O96" s="32">
        <f t="shared" si="53"/>
        <v>0</v>
      </c>
      <c r="P96" s="32"/>
      <c r="Q96" s="32">
        <f t="shared" si="54"/>
        <v>12299187</v>
      </c>
      <c r="R96" s="32">
        <f t="shared" si="60"/>
        <v>12299187</v>
      </c>
      <c r="S96" s="32">
        <f t="shared" si="61"/>
        <v>0</v>
      </c>
      <c r="T96" s="32">
        <f t="shared" si="55"/>
        <v>0</v>
      </c>
      <c r="U96" s="32">
        <f t="shared" si="88"/>
        <v>0</v>
      </c>
      <c r="V96" s="32">
        <f t="shared" si="88"/>
        <v>0</v>
      </c>
      <c r="W96" s="32">
        <f t="shared" si="88"/>
        <v>0</v>
      </c>
      <c r="X96" s="32">
        <f t="shared" si="62"/>
        <v>0</v>
      </c>
      <c r="Y96" s="32"/>
      <c r="Z96" s="32">
        <f t="shared" si="88"/>
        <v>0</v>
      </c>
      <c r="AA96" s="32">
        <f t="shared" si="88"/>
        <v>0</v>
      </c>
      <c r="AB96" s="32">
        <f t="shared" si="88"/>
        <v>0</v>
      </c>
      <c r="AC96" s="32">
        <f t="shared" si="63"/>
        <v>0</v>
      </c>
      <c r="AD96" s="32"/>
      <c r="AE96" s="32">
        <f t="shared" si="88"/>
        <v>0</v>
      </c>
      <c r="AF96" s="32">
        <f t="shared" si="88"/>
        <v>0</v>
      </c>
      <c r="AG96" s="32">
        <f t="shared" si="88"/>
        <v>0</v>
      </c>
      <c r="AH96" s="32">
        <f t="shared" si="88"/>
        <v>0</v>
      </c>
      <c r="AI96" s="32">
        <f t="shared" si="88"/>
        <v>0</v>
      </c>
      <c r="AJ96" s="32">
        <f t="shared" si="88"/>
        <v>0</v>
      </c>
      <c r="AK96" s="7">
        <v>0</v>
      </c>
      <c r="AL96" s="32">
        <v>0</v>
      </c>
      <c r="AM96" s="32"/>
      <c r="AN96" s="4">
        <v>0</v>
      </c>
      <c r="AO96" s="32">
        <f t="shared" si="64"/>
        <v>0</v>
      </c>
      <c r="AP96" s="32">
        <f t="shared" si="65"/>
        <v>0</v>
      </c>
      <c r="AS96" s="32">
        <f t="shared" si="66"/>
        <v>0</v>
      </c>
      <c r="AT96" s="32">
        <f t="shared" si="56"/>
        <v>0</v>
      </c>
      <c r="AU96" s="32">
        <f t="shared" si="67"/>
        <v>0</v>
      </c>
      <c r="AV96" s="4">
        <f t="shared" si="68"/>
        <v>0</v>
      </c>
      <c r="AW96" s="32">
        <f t="shared" si="69"/>
        <v>0</v>
      </c>
      <c r="AX96" s="4">
        <f t="shared" si="70"/>
        <v>0</v>
      </c>
      <c r="AY96" s="32">
        <f t="shared" si="71"/>
        <v>0</v>
      </c>
      <c r="AZ96" s="4">
        <f t="shared" si="72"/>
        <v>0</v>
      </c>
      <c r="BA96" s="32">
        <f t="shared" si="73"/>
        <v>0</v>
      </c>
      <c r="BB96" s="32">
        <f t="shared" si="57"/>
        <v>0</v>
      </c>
      <c r="BC96" s="32">
        <f t="shared" si="74"/>
        <v>0</v>
      </c>
      <c r="BD96" s="32">
        <f t="shared" si="75"/>
        <v>0</v>
      </c>
      <c r="BF96" s="32">
        <f t="shared" si="76"/>
        <v>0</v>
      </c>
      <c r="BG96" s="32">
        <f t="shared" si="58"/>
        <v>0</v>
      </c>
      <c r="BH96" s="32">
        <f t="shared" si="77"/>
        <v>0</v>
      </c>
      <c r="BI96" s="4">
        <f t="shared" si="78"/>
        <v>0</v>
      </c>
      <c r="BJ96" s="32">
        <f t="shared" si="79"/>
        <v>0</v>
      </c>
      <c r="BK96" s="4">
        <f t="shared" si="80"/>
        <v>0</v>
      </c>
      <c r="BL96" s="32">
        <f t="shared" si="81"/>
        <v>0</v>
      </c>
      <c r="BM96" s="4">
        <f t="shared" si="82"/>
        <v>0</v>
      </c>
      <c r="BN96" s="32">
        <f t="shared" si="83"/>
        <v>0</v>
      </c>
      <c r="BO96" s="4">
        <f t="shared" si="84"/>
        <v>0</v>
      </c>
      <c r="BP96" s="32">
        <f t="shared" si="85"/>
        <v>0</v>
      </c>
      <c r="BQ96" s="32">
        <f t="shared" si="86"/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  <c r="DN96" s="4">
        <v>0</v>
      </c>
      <c r="DO96" s="4">
        <v>0</v>
      </c>
      <c r="DP96" s="4">
        <v>0</v>
      </c>
      <c r="DQ96" s="4">
        <v>0</v>
      </c>
    </row>
    <row r="97" spans="1:121" x14ac:dyDescent="0.35">
      <c r="A97" s="84">
        <f>'2017 Prop share of contribs'!A93</f>
        <v>88</v>
      </c>
      <c r="B97" s="84" t="str">
        <f>'2017 Prop share of contribs'!B93</f>
        <v xml:space="preserve">MORGAN COUNTY SCHOOLS  </v>
      </c>
      <c r="C97" s="25" t="s">
        <v>208</v>
      </c>
      <c r="D97" s="33">
        <f>ROUND('Employer Allocations'!G136,8)</f>
        <v>0</v>
      </c>
      <c r="E97" s="4">
        <f>ROUND('Employer Allocations'!H136,8)</f>
        <v>2.3513000000000002E-3</v>
      </c>
      <c r="F97" s="4">
        <f>ROUND('Employer Allocations'!I136,8)</f>
        <v>2.3513000000000002E-3</v>
      </c>
      <c r="G97" s="4">
        <v>0</v>
      </c>
      <c r="H97" s="4">
        <v>2.3640200000000001E-3</v>
      </c>
      <c r="I97" s="4">
        <v>2.3640200000000001E-3</v>
      </c>
      <c r="J97" s="7">
        <f t="shared" si="50"/>
        <v>0</v>
      </c>
      <c r="K97" s="7">
        <f t="shared" si="51"/>
        <v>63444526</v>
      </c>
      <c r="L97" s="7">
        <f t="shared" si="59"/>
        <v>63444526</v>
      </c>
      <c r="M97" s="7"/>
      <c r="N97" s="7">
        <f t="shared" si="52"/>
        <v>0</v>
      </c>
      <c r="O97" s="32">
        <f t="shared" si="53"/>
        <v>0</v>
      </c>
      <c r="P97" s="32"/>
      <c r="Q97" s="32">
        <f t="shared" si="54"/>
        <v>4516277</v>
      </c>
      <c r="R97" s="32">
        <f t="shared" si="60"/>
        <v>4516277</v>
      </c>
      <c r="S97" s="32">
        <f t="shared" si="61"/>
        <v>0</v>
      </c>
      <c r="T97" s="32">
        <f t="shared" si="55"/>
        <v>0</v>
      </c>
      <c r="U97" s="32">
        <f t="shared" si="88"/>
        <v>0</v>
      </c>
      <c r="V97" s="32">
        <f t="shared" si="88"/>
        <v>0</v>
      </c>
      <c r="W97" s="32">
        <f t="shared" si="88"/>
        <v>0</v>
      </c>
      <c r="X97" s="32">
        <f t="shared" si="62"/>
        <v>0</v>
      </c>
      <c r="Y97" s="32"/>
      <c r="Z97" s="32">
        <f t="shared" si="88"/>
        <v>0</v>
      </c>
      <c r="AA97" s="32">
        <f t="shared" si="88"/>
        <v>0</v>
      </c>
      <c r="AB97" s="32">
        <f t="shared" si="88"/>
        <v>0</v>
      </c>
      <c r="AC97" s="32">
        <f t="shared" si="63"/>
        <v>0</v>
      </c>
      <c r="AD97" s="32"/>
      <c r="AE97" s="32">
        <f t="shared" si="88"/>
        <v>0</v>
      </c>
      <c r="AF97" s="32">
        <f t="shared" si="88"/>
        <v>0</v>
      </c>
      <c r="AG97" s="32">
        <f t="shared" si="88"/>
        <v>0</v>
      </c>
      <c r="AH97" s="32">
        <f t="shared" si="88"/>
        <v>0</v>
      </c>
      <c r="AI97" s="32">
        <f t="shared" si="88"/>
        <v>0</v>
      </c>
      <c r="AJ97" s="32">
        <f t="shared" si="88"/>
        <v>0</v>
      </c>
      <c r="AK97" s="7">
        <v>0</v>
      </c>
      <c r="AL97" s="32">
        <v>0</v>
      </c>
      <c r="AM97" s="32"/>
      <c r="AN97" s="4">
        <v>0</v>
      </c>
      <c r="AO97" s="32">
        <f t="shared" si="64"/>
        <v>0</v>
      </c>
      <c r="AP97" s="32">
        <f t="shared" si="65"/>
        <v>0</v>
      </c>
      <c r="AS97" s="32">
        <f t="shared" si="66"/>
        <v>0</v>
      </c>
      <c r="AT97" s="32">
        <f t="shared" si="56"/>
        <v>0</v>
      </c>
      <c r="AU97" s="32">
        <f t="shared" si="67"/>
        <v>0</v>
      </c>
      <c r="AV97" s="4">
        <f t="shared" si="68"/>
        <v>0</v>
      </c>
      <c r="AW97" s="32">
        <f t="shared" si="69"/>
        <v>0</v>
      </c>
      <c r="AX97" s="4">
        <f t="shared" si="70"/>
        <v>0</v>
      </c>
      <c r="AY97" s="32">
        <f t="shared" si="71"/>
        <v>0</v>
      </c>
      <c r="AZ97" s="4">
        <f t="shared" si="72"/>
        <v>0</v>
      </c>
      <c r="BA97" s="32">
        <f t="shared" si="73"/>
        <v>0</v>
      </c>
      <c r="BB97" s="32">
        <f t="shared" si="57"/>
        <v>0</v>
      </c>
      <c r="BC97" s="32">
        <f t="shared" si="74"/>
        <v>0</v>
      </c>
      <c r="BD97" s="32">
        <f t="shared" si="75"/>
        <v>0</v>
      </c>
      <c r="BF97" s="32">
        <f t="shared" si="76"/>
        <v>0</v>
      </c>
      <c r="BG97" s="32">
        <f t="shared" si="58"/>
        <v>0</v>
      </c>
      <c r="BH97" s="32">
        <f t="shared" si="77"/>
        <v>0</v>
      </c>
      <c r="BI97" s="4">
        <f t="shared" si="78"/>
        <v>0</v>
      </c>
      <c r="BJ97" s="32">
        <f t="shared" si="79"/>
        <v>0</v>
      </c>
      <c r="BK97" s="4">
        <f t="shared" si="80"/>
        <v>0</v>
      </c>
      <c r="BL97" s="32">
        <f t="shared" si="81"/>
        <v>0</v>
      </c>
      <c r="BM97" s="4">
        <f t="shared" si="82"/>
        <v>0</v>
      </c>
      <c r="BN97" s="32">
        <f t="shared" si="83"/>
        <v>0</v>
      </c>
      <c r="BO97" s="4">
        <f t="shared" si="84"/>
        <v>0</v>
      </c>
      <c r="BP97" s="32">
        <f t="shared" si="85"/>
        <v>0</v>
      </c>
      <c r="BQ97" s="32">
        <f t="shared" si="86"/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  <c r="DN97" s="4">
        <v>0</v>
      </c>
      <c r="DO97" s="4">
        <v>0</v>
      </c>
      <c r="DP97" s="4">
        <v>0</v>
      </c>
      <c r="DQ97" s="4">
        <v>0</v>
      </c>
    </row>
    <row r="98" spans="1:121" x14ac:dyDescent="0.35">
      <c r="A98" s="84">
        <f>'2017 Prop share of contribs'!A94</f>
        <v>89</v>
      </c>
      <c r="B98" s="84" t="str">
        <f>'2017 Prop share of contribs'!B94</f>
        <v xml:space="preserve">MUHLENBERG COUNTY SCHOOLS  </v>
      </c>
      <c r="C98" s="25" t="s">
        <v>301</v>
      </c>
      <c r="D98" s="33">
        <f>ROUND('Employer Allocations'!G137,8)</f>
        <v>0</v>
      </c>
      <c r="E98" s="4">
        <f>ROUND('Employer Allocations'!H137,8)</f>
        <v>6.0604999999999999E-3</v>
      </c>
      <c r="F98" s="4">
        <f>ROUND('Employer Allocations'!I137,8)</f>
        <v>6.0604999999999999E-3</v>
      </c>
      <c r="G98" s="4">
        <v>0</v>
      </c>
      <c r="H98" s="4">
        <v>5.96103E-3</v>
      </c>
      <c r="I98" s="4">
        <v>5.96103E-3</v>
      </c>
      <c r="J98" s="7">
        <f t="shared" si="50"/>
        <v>0</v>
      </c>
      <c r="K98" s="7">
        <f t="shared" si="51"/>
        <v>163528921</v>
      </c>
      <c r="L98" s="7">
        <f t="shared" si="59"/>
        <v>163528921</v>
      </c>
      <c r="M98" s="7"/>
      <c r="N98" s="7">
        <f t="shared" si="52"/>
        <v>0</v>
      </c>
      <c r="O98" s="32">
        <f t="shared" si="53"/>
        <v>0</v>
      </c>
      <c r="P98" s="32"/>
      <c r="Q98" s="32">
        <f t="shared" si="54"/>
        <v>11640752</v>
      </c>
      <c r="R98" s="32">
        <f t="shared" si="60"/>
        <v>11640752</v>
      </c>
      <c r="S98" s="32">
        <f t="shared" si="61"/>
        <v>0</v>
      </c>
      <c r="T98" s="32">
        <f t="shared" si="55"/>
        <v>0</v>
      </c>
      <c r="U98" s="32">
        <f t="shared" si="88"/>
        <v>0</v>
      </c>
      <c r="V98" s="32">
        <f t="shared" si="88"/>
        <v>0</v>
      </c>
      <c r="W98" s="32">
        <f t="shared" si="88"/>
        <v>0</v>
      </c>
      <c r="X98" s="32">
        <f t="shared" si="62"/>
        <v>0</v>
      </c>
      <c r="Y98" s="32"/>
      <c r="Z98" s="32">
        <f t="shared" si="88"/>
        <v>0</v>
      </c>
      <c r="AA98" s="32">
        <f t="shared" si="88"/>
        <v>0</v>
      </c>
      <c r="AB98" s="32">
        <f t="shared" si="88"/>
        <v>0</v>
      </c>
      <c r="AC98" s="32">
        <f t="shared" si="63"/>
        <v>0</v>
      </c>
      <c r="AD98" s="32"/>
      <c r="AE98" s="32">
        <f t="shared" si="88"/>
        <v>0</v>
      </c>
      <c r="AF98" s="32">
        <f t="shared" si="88"/>
        <v>0</v>
      </c>
      <c r="AG98" s="32">
        <f t="shared" si="88"/>
        <v>0</v>
      </c>
      <c r="AH98" s="32">
        <f t="shared" si="88"/>
        <v>0</v>
      </c>
      <c r="AI98" s="32">
        <f t="shared" si="88"/>
        <v>0</v>
      </c>
      <c r="AJ98" s="32">
        <f t="shared" si="88"/>
        <v>0</v>
      </c>
      <c r="AK98" s="7">
        <v>0</v>
      </c>
      <c r="AL98" s="32">
        <v>0</v>
      </c>
      <c r="AM98" s="32"/>
      <c r="AN98" s="4">
        <v>0</v>
      </c>
      <c r="AO98" s="32">
        <f t="shared" si="64"/>
        <v>0</v>
      </c>
      <c r="AP98" s="32">
        <f t="shared" si="65"/>
        <v>0</v>
      </c>
      <c r="AS98" s="32">
        <f t="shared" si="66"/>
        <v>0</v>
      </c>
      <c r="AT98" s="32">
        <f t="shared" si="56"/>
        <v>0</v>
      </c>
      <c r="AU98" s="32">
        <f t="shared" si="67"/>
        <v>0</v>
      </c>
      <c r="AV98" s="4">
        <f t="shared" si="68"/>
        <v>0</v>
      </c>
      <c r="AW98" s="32">
        <f t="shared" si="69"/>
        <v>0</v>
      </c>
      <c r="AX98" s="4">
        <f t="shared" si="70"/>
        <v>0</v>
      </c>
      <c r="AY98" s="32">
        <f t="shared" si="71"/>
        <v>0</v>
      </c>
      <c r="AZ98" s="4">
        <f t="shared" si="72"/>
        <v>0</v>
      </c>
      <c r="BA98" s="32">
        <f t="shared" si="73"/>
        <v>0</v>
      </c>
      <c r="BB98" s="32">
        <f t="shared" si="57"/>
        <v>0</v>
      </c>
      <c r="BC98" s="32">
        <f t="shared" si="74"/>
        <v>0</v>
      </c>
      <c r="BD98" s="32">
        <f t="shared" si="75"/>
        <v>0</v>
      </c>
      <c r="BF98" s="32">
        <f t="shared" si="76"/>
        <v>0</v>
      </c>
      <c r="BG98" s="32">
        <f t="shared" si="58"/>
        <v>0</v>
      </c>
      <c r="BH98" s="32">
        <f t="shared" si="77"/>
        <v>0</v>
      </c>
      <c r="BI98" s="4">
        <f t="shared" si="78"/>
        <v>0</v>
      </c>
      <c r="BJ98" s="32">
        <f t="shared" si="79"/>
        <v>0</v>
      </c>
      <c r="BK98" s="4">
        <f t="shared" si="80"/>
        <v>0</v>
      </c>
      <c r="BL98" s="32">
        <f t="shared" si="81"/>
        <v>0</v>
      </c>
      <c r="BM98" s="4">
        <f t="shared" si="82"/>
        <v>0</v>
      </c>
      <c r="BN98" s="32">
        <f t="shared" si="83"/>
        <v>0</v>
      </c>
      <c r="BO98" s="4">
        <f t="shared" si="84"/>
        <v>0</v>
      </c>
      <c r="BP98" s="32">
        <f t="shared" si="85"/>
        <v>0</v>
      </c>
      <c r="BQ98" s="32">
        <f t="shared" si="86"/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</row>
    <row r="99" spans="1:121" x14ac:dyDescent="0.35">
      <c r="A99" s="84">
        <f>'2017 Prop share of contribs'!A95</f>
        <v>90</v>
      </c>
      <c r="B99" s="84" t="str">
        <f>'2017 Prop share of contribs'!B95</f>
        <v xml:space="preserve">NELSON COUNTY SCHOOLS  </v>
      </c>
      <c r="C99" s="25" t="s">
        <v>209</v>
      </c>
      <c r="D99" s="33">
        <f>ROUND('Employer Allocations'!G138,8)</f>
        <v>0</v>
      </c>
      <c r="E99" s="4">
        <f>ROUND('Employer Allocations'!H138,8)</f>
        <v>6.2515599999999998E-3</v>
      </c>
      <c r="F99" s="4">
        <f>ROUND('Employer Allocations'!I138,8)</f>
        <v>6.2515599999999998E-3</v>
      </c>
      <c r="G99" s="4">
        <v>0</v>
      </c>
      <c r="H99" s="4">
        <v>6.1939999999999999E-3</v>
      </c>
      <c r="I99" s="4">
        <v>6.1939999999999999E-3</v>
      </c>
      <c r="J99" s="7">
        <f t="shared" si="50"/>
        <v>0</v>
      </c>
      <c r="K99" s="7">
        <f t="shared" si="51"/>
        <v>168684244</v>
      </c>
      <c r="L99" s="7">
        <f t="shared" si="59"/>
        <v>168684244</v>
      </c>
      <c r="M99" s="7"/>
      <c r="N99" s="7">
        <f t="shared" si="52"/>
        <v>0</v>
      </c>
      <c r="O99" s="32">
        <f t="shared" si="53"/>
        <v>0</v>
      </c>
      <c r="P99" s="32"/>
      <c r="Q99" s="32">
        <f t="shared" si="54"/>
        <v>12007732</v>
      </c>
      <c r="R99" s="32">
        <f t="shared" si="60"/>
        <v>12007732</v>
      </c>
      <c r="S99" s="32">
        <f t="shared" si="61"/>
        <v>0</v>
      </c>
      <c r="T99" s="32">
        <f t="shared" si="55"/>
        <v>0</v>
      </c>
      <c r="U99" s="32">
        <f t="shared" si="88"/>
        <v>0</v>
      </c>
      <c r="V99" s="32">
        <f t="shared" si="88"/>
        <v>0</v>
      </c>
      <c r="W99" s="32">
        <f t="shared" si="88"/>
        <v>0</v>
      </c>
      <c r="X99" s="32">
        <f t="shared" si="62"/>
        <v>0</v>
      </c>
      <c r="Y99" s="32"/>
      <c r="Z99" s="32">
        <f t="shared" si="88"/>
        <v>0</v>
      </c>
      <c r="AA99" s="32">
        <f t="shared" si="88"/>
        <v>0</v>
      </c>
      <c r="AB99" s="32">
        <f t="shared" si="88"/>
        <v>0</v>
      </c>
      <c r="AC99" s="32">
        <f t="shared" si="63"/>
        <v>0</v>
      </c>
      <c r="AD99" s="32"/>
      <c r="AE99" s="32">
        <f t="shared" si="88"/>
        <v>0</v>
      </c>
      <c r="AF99" s="32">
        <f t="shared" si="88"/>
        <v>0</v>
      </c>
      <c r="AG99" s="32">
        <f t="shared" si="88"/>
        <v>0</v>
      </c>
      <c r="AH99" s="32">
        <f t="shared" si="88"/>
        <v>0</v>
      </c>
      <c r="AI99" s="32">
        <f t="shared" si="88"/>
        <v>0</v>
      </c>
      <c r="AJ99" s="32">
        <f t="shared" si="88"/>
        <v>0</v>
      </c>
      <c r="AK99" s="7">
        <v>0</v>
      </c>
      <c r="AL99" s="32">
        <v>0</v>
      </c>
      <c r="AM99" s="32"/>
      <c r="AN99" s="4">
        <v>0</v>
      </c>
      <c r="AO99" s="32">
        <f t="shared" si="64"/>
        <v>0</v>
      </c>
      <c r="AP99" s="32">
        <f t="shared" si="65"/>
        <v>0</v>
      </c>
      <c r="AS99" s="32">
        <f t="shared" si="66"/>
        <v>0</v>
      </c>
      <c r="AT99" s="32">
        <f t="shared" si="56"/>
        <v>0</v>
      </c>
      <c r="AU99" s="32">
        <f t="shared" si="67"/>
        <v>0</v>
      </c>
      <c r="AV99" s="4">
        <f t="shared" si="68"/>
        <v>0</v>
      </c>
      <c r="AW99" s="32">
        <f t="shared" si="69"/>
        <v>0</v>
      </c>
      <c r="AX99" s="4">
        <f t="shared" si="70"/>
        <v>0</v>
      </c>
      <c r="AY99" s="32">
        <f t="shared" si="71"/>
        <v>0</v>
      </c>
      <c r="AZ99" s="4">
        <f t="shared" si="72"/>
        <v>0</v>
      </c>
      <c r="BA99" s="32">
        <f t="shared" si="73"/>
        <v>0</v>
      </c>
      <c r="BB99" s="32">
        <f t="shared" si="57"/>
        <v>0</v>
      </c>
      <c r="BC99" s="32">
        <f t="shared" si="74"/>
        <v>0</v>
      </c>
      <c r="BD99" s="32">
        <f t="shared" si="75"/>
        <v>0</v>
      </c>
      <c r="BF99" s="32">
        <f t="shared" si="76"/>
        <v>0</v>
      </c>
      <c r="BG99" s="32">
        <f t="shared" si="58"/>
        <v>0</v>
      </c>
      <c r="BH99" s="32">
        <f t="shared" si="77"/>
        <v>0</v>
      </c>
      <c r="BI99" s="4">
        <f t="shared" si="78"/>
        <v>0</v>
      </c>
      <c r="BJ99" s="32">
        <f t="shared" si="79"/>
        <v>0</v>
      </c>
      <c r="BK99" s="4">
        <f t="shared" si="80"/>
        <v>0</v>
      </c>
      <c r="BL99" s="32">
        <f t="shared" si="81"/>
        <v>0</v>
      </c>
      <c r="BM99" s="4">
        <f t="shared" si="82"/>
        <v>0</v>
      </c>
      <c r="BN99" s="32">
        <f t="shared" si="83"/>
        <v>0</v>
      </c>
      <c r="BO99" s="4">
        <f t="shared" si="84"/>
        <v>0</v>
      </c>
      <c r="BP99" s="32">
        <f t="shared" si="85"/>
        <v>0</v>
      </c>
      <c r="BQ99" s="32">
        <f t="shared" si="86"/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0</v>
      </c>
    </row>
    <row r="100" spans="1:121" x14ac:dyDescent="0.35">
      <c r="A100" s="84">
        <f>'2017 Prop share of contribs'!A96</f>
        <v>91</v>
      </c>
      <c r="B100" s="84" t="str">
        <f>'2017 Prop share of contribs'!B96</f>
        <v xml:space="preserve">NICHOLAS COUNTY SCHOOLS  </v>
      </c>
      <c r="C100" s="25" t="s">
        <v>210</v>
      </c>
      <c r="D100" s="33">
        <f>ROUND('Employer Allocations'!G139,8)</f>
        <v>0</v>
      </c>
      <c r="E100" s="4">
        <f>ROUND('Employer Allocations'!H139,8)</f>
        <v>1.3494100000000001E-3</v>
      </c>
      <c r="F100" s="4">
        <f>ROUND('Employer Allocations'!I139,8)</f>
        <v>1.3494100000000001E-3</v>
      </c>
      <c r="G100" s="4">
        <v>0</v>
      </c>
      <c r="H100" s="4">
        <v>1.4125299999999999E-3</v>
      </c>
      <c r="I100" s="4">
        <v>1.4125299999999999E-3</v>
      </c>
      <c r="J100" s="7">
        <f t="shared" si="50"/>
        <v>0</v>
      </c>
      <c r="K100" s="7">
        <f t="shared" si="51"/>
        <v>36410785</v>
      </c>
      <c r="L100" s="7">
        <f t="shared" si="59"/>
        <v>36410785</v>
      </c>
      <c r="M100" s="7"/>
      <c r="N100" s="7">
        <f t="shared" si="52"/>
        <v>0</v>
      </c>
      <c r="O100" s="32">
        <f t="shared" si="53"/>
        <v>0</v>
      </c>
      <c r="P100" s="32"/>
      <c r="Q100" s="32">
        <f t="shared" si="54"/>
        <v>2591890</v>
      </c>
      <c r="R100" s="32">
        <f t="shared" si="60"/>
        <v>2591890</v>
      </c>
      <c r="S100" s="32">
        <f t="shared" si="61"/>
        <v>0</v>
      </c>
      <c r="T100" s="32">
        <f t="shared" si="55"/>
        <v>0</v>
      </c>
      <c r="U100" s="32">
        <f t="shared" ref="U100:AJ115" si="89">ROUND(U$2*$D100,0)</f>
        <v>0</v>
      </c>
      <c r="V100" s="32">
        <f t="shared" si="89"/>
        <v>0</v>
      </c>
      <c r="W100" s="32">
        <f t="shared" si="89"/>
        <v>0</v>
      </c>
      <c r="X100" s="32">
        <f t="shared" si="62"/>
        <v>0</v>
      </c>
      <c r="Y100" s="32"/>
      <c r="Z100" s="32">
        <f t="shared" si="89"/>
        <v>0</v>
      </c>
      <c r="AA100" s="32">
        <f t="shared" si="89"/>
        <v>0</v>
      </c>
      <c r="AB100" s="32">
        <f t="shared" si="89"/>
        <v>0</v>
      </c>
      <c r="AC100" s="32">
        <f t="shared" si="63"/>
        <v>0</v>
      </c>
      <c r="AD100" s="32"/>
      <c r="AE100" s="32">
        <f t="shared" si="89"/>
        <v>0</v>
      </c>
      <c r="AF100" s="32">
        <f t="shared" si="89"/>
        <v>0</v>
      </c>
      <c r="AG100" s="32">
        <f t="shared" si="89"/>
        <v>0</v>
      </c>
      <c r="AH100" s="32">
        <f t="shared" si="89"/>
        <v>0</v>
      </c>
      <c r="AI100" s="32">
        <f t="shared" si="89"/>
        <v>0</v>
      </c>
      <c r="AJ100" s="32">
        <f t="shared" si="88"/>
        <v>0</v>
      </c>
      <c r="AK100" s="7">
        <v>0</v>
      </c>
      <c r="AL100" s="32">
        <v>0</v>
      </c>
      <c r="AM100" s="32"/>
      <c r="AN100" s="4">
        <v>0</v>
      </c>
      <c r="AO100" s="32">
        <f t="shared" si="64"/>
        <v>0</v>
      </c>
      <c r="AP100" s="32">
        <f t="shared" si="65"/>
        <v>0</v>
      </c>
      <c r="AS100" s="32">
        <f t="shared" si="66"/>
        <v>0</v>
      </c>
      <c r="AT100" s="32">
        <f t="shared" si="56"/>
        <v>0</v>
      </c>
      <c r="AU100" s="32">
        <f t="shared" si="67"/>
        <v>0</v>
      </c>
      <c r="AV100" s="4">
        <f t="shared" si="68"/>
        <v>0</v>
      </c>
      <c r="AW100" s="32">
        <f t="shared" si="69"/>
        <v>0</v>
      </c>
      <c r="AX100" s="4">
        <f t="shared" si="70"/>
        <v>0</v>
      </c>
      <c r="AY100" s="32">
        <f t="shared" si="71"/>
        <v>0</v>
      </c>
      <c r="AZ100" s="4">
        <f t="shared" si="72"/>
        <v>0</v>
      </c>
      <c r="BA100" s="32">
        <f t="shared" si="73"/>
        <v>0</v>
      </c>
      <c r="BB100" s="32">
        <f t="shared" si="57"/>
        <v>0</v>
      </c>
      <c r="BC100" s="32">
        <f t="shared" si="74"/>
        <v>0</v>
      </c>
      <c r="BD100" s="32">
        <f t="shared" si="75"/>
        <v>0</v>
      </c>
      <c r="BF100" s="32">
        <f t="shared" si="76"/>
        <v>0</v>
      </c>
      <c r="BG100" s="32">
        <f t="shared" si="58"/>
        <v>0</v>
      </c>
      <c r="BH100" s="32">
        <f t="shared" si="77"/>
        <v>0</v>
      </c>
      <c r="BI100" s="4">
        <f t="shared" si="78"/>
        <v>0</v>
      </c>
      <c r="BJ100" s="32">
        <f t="shared" si="79"/>
        <v>0</v>
      </c>
      <c r="BK100" s="4">
        <f t="shared" si="80"/>
        <v>0</v>
      </c>
      <c r="BL100" s="32">
        <f t="shared" si="81"/>
        <v>0</v>
      </c>
      <c r="BM100" s="4">
        <f t="shared" si="82"/>
        <v>0</v>
      </c>
      <c r="BN100" s="32">
        <f t="shared" si="83"/>
        <v>0</v>
      </c>
      <c r="BO100" s="4">
        <f t="shared" si="84"/>
        <v>0</v>
      </c>
      <c r="BP100" s="32">
        <f t="shared" si="85"/>
        <v>0</v>
      </c>
      <c r="BQ100" s="32">
        <f t="shared" si="86"/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  <c r="DO100" s="4">
        <v>0</v>
      </c>
      <c r="DP100" s="4">
        <v>0</v>
      </c>
      <c r="DQ100" s="4">
        <v>0</v>
      </c>
    </row>
    <row r="101" spans="1:121" x14ac:dyDescent="0.35">
      <c r="A101" s="84">
        <f>'2017 Prop share of contribs'!A97</f>
        <v>92</v>
      </c>
      <c r="B101" s="84" t="str">
        <f>'2017 Prop share of contribs'!B97</f>
        <v xml:space="preserve">OHIO COUNTY SCHOOLS  </v>
      </c>
      <c r="C101" s="25" t="s">
        <v>211</v>
      </c>
      <c r="D101" s="33">
        <f>ROUND('Employer Allocations'!G140,8)</f>
        <v>0</v>
      </c>
      <c r="E101" s="4">
        <f>ROUND('Employer Allocations'!H140,8)</f>
        <v>5.1090099999999998E-3</v>
      </c>
      <c r="F101" s="4">
        <f>ROUND('Employer Allocations'!I140,8)</f>
        <v>5.1090099999999998E-3</v>
      </c>
      <c r="G101" s="4">
        <v>0</v>
      </c>
      <c r="H101" s="4">
        <v>5.08867E-3</v>
      </c>
      <c r="I101" s="4">
        <v>5.08867E-3</v>
      </c>
      <c r="J101" s="7">
        <f t="shared" si="50"/>
        <v>0</v>
      </c>
      <c r="K101" s="7">
        <f t="shared" si="51"/>
        <v>137855110</v>
      </c>
      <c r="L101" s="7">
        <f t="shared" si="59"/>
        <v>137855110</v>
      </c>
      <c r="M101" s="7"/>
      <c r="N101" s="7">
        <f t="shared" si="52"/>
        <v>0</v>
      </c>
      <c r="O101" s="32">
        <f t="shared" si="53"/>
        <v>0</v>
      </c>
      <c r="P101" s="32"/>
      <c r="Q101" s="32">
        <f t="shared" si="54"/>
        <v>9813170</v>
      </c>
      <c r="R101" s="32">
        <f t="shared" si="60"/>
        <v>9813170</v>
      </c>
      <c r="S101" s="32">
        <f t="shared" si="61"/>
        <v>0</v>
      </c>
      <c r="T101" s="32">
        <f t="shared" si="55"/>
        <v>0</v>
      </c>
      <c r="U101" s="32">
        <f t="shared" si="89"/>
        <v>0</v>
      </c>
      <c r="V101" s="32">
        <f t="shared" si="89"/>
        <v>0</v>
      </c>
      <c r="W101" s="32">
        <f t="shared" si="89"/>
        <v>0</v>
      </c>
      <c r="X101" s="32">
        <f t="shared" si="62"/>
        <v>0</v>
      </c>
      <c r="Y101" s="32"/>
      <c r="Z101" s="32">
        <f t="shared" si="89"/>
        <v>0</v>
      </c>
      <c r="AA101" s="32">
        <f t="shared" si="89"/>
        <v>0</v>
      </c>
      <c r="AB101" s="32">
        <f t="shared" si="89"/>
        <v>0</v>
      </c>
      <c r="AC101" s="32">
        <f t="shared" si="63"/>
        <v>0</v>
      </c>
      <c r="AD101" s="32"/>
      <c r="AE101" s="32">
        <f t="shared" si="89"/>
        <v>0</v>
      </c>
      <c r="AF101" s="32">
        <f t="shared" si="89"/>
        <v>0</v>
      </c>
      <c r="AG101" s="32">
        <f t="shared" si="89"/>
        <v>0</v>
      </c>
      <c r="AH101" s="32">
        <f t="shared" si="89"/>
        <v>0</v>
      </c>
      <c r="AI101" s="32">
        <f t="shared" si="89"/>
        <v>0</v>
      </c>
      <c r="AJ101" s="32">
        <f t="shared" si="88"/>
        <v>0</v>
      </c>
      <c r="AK101" s="7">
        <v>0</v>
      </c>
      <c r="AL101" s="32">
        <v>0</v>
      </c>
      <c r="AM101" s="32"/>
      <c r="AN101" s="4">
        <v>0</v>
      </c>
      <c r="AO101" s="32">
        <f t="shared" si="64"/>
        <v>0</v>
      </c>
      <c r="AP101" s="32">
        <f t="shared" si="65"/>
        <v>0</v>
      </c>
      <c r="AS101" s="32">
        <f t="shared" si="66"/>
        <v>0</v>
      </c>
      <c r="AT101" s="32">
        <f t="shared" si="56"/>
        <v>0</v>
      </c>
      <c r="AU101" s="32">
        <f t="shared" si="67"/>
        <v>0</v>
      </c>
      <c r="AV101" s="4">
        <f t="shared" si="68"/>
        <v>0</v>
      </c>
      <c r="AW101" s="32">
        <f t="shared" si="69"/>
        <v>0</v>
      </c>
      <c r="AX101" s="4">
        <f t="shared" si="70"/>
        <v>0</v>
      </c>
      <c r="AY101" s="32">
        <f t="shared" si="71"/>
        <v>0</v>
      </c>
      <c r="AZ101" s="4">
        <f t="shared" si="72"/>
        <v>0</v>
      </c>
      <c r="BA101" s="32">
        <f t="shared" si="73"/>
        <v>0</v>
      </c>
      <c r="BB101" s="32">
        <f t="shared" si="57"/>
        <v>0</v>
      </c>
      <c r="BC101" s="32">
        <f t="shared" si="74"/>
        <v>0</v>
      </c>
      <c r="BD101" s="32">
        <f t="shared" si="75"/>
        <v>0</v>
      </c>
      <c r="BF101" s="32">
        <f t="shared" si="76"/>
        <v>0</v>
      </c>
      <c r="BG101" s="32">
        <f t="shared" si="58"/>
        <v>0</v>
      </c>
      <c r="BH101" s="32">
        <f t="shared" si="77"/>
        <v>0</v>
      </c>
      <c r="BI101" s="4">
        <f t="shared" si="78"/>
        <v>0</v>
      </c>
      <c r="BJ101" s="32">
        <f t="shared" si="79"/>
        <v>0</v>
      </c>
      <c r="BK101" s="4">
        <f t="shared" si="80"/>
        <v>0</v>
      </c>
      <c r="BL101" s="32">
        <f t="shared" si="81"/>
        <v>0</v>
      </c>
      <c r="BM101" s="4">
        <f t="shared" si="82"/>
        <v>0</v>
      </c>
      <c r="BN101" s="32">
        <f t="shared" si="83"/>
        <v>0</v>
      </c>
      <c r="BO101" s="4">
        <f t="shared" si="84"/>
        <v>0</v>
      </c>
      <c r="BP101" s="32">
        <f t="shared" si="85"/>
        <v>0</v>
      </c>
      <c r="BQ101" s="32">
        <f t="shared" si="86"/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0</v>
      </c>
      <c r="CN101" s="4">
        <v>0</v>
      </c>
      <c r="CO101" s="4">
        <v>0</v>
      </c>
      <c r="CP101" s="4">
        <v>0</v>
      </c>
      <c r="CQ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F101" s="4">
        <v>0</v>
      </c>
      <c r="DG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4">
        <v>0</v>
      </c>
      <c r="DN101" s="4">
        <v>0</v>
      </c>
      <c r="DO101" s="4">
        <v>0</v>
      </c>
      <c r="DP101" s="4">
        <v>0</v>
      </c>
      <c r="DQ101" s="4">
        <v>0</v>
      </c>
    </row>
    <row r="102" spans="1:121" x14ac:dyDescent="0.35">
      <c r="A102" s="84">
        <f>'2017 Prop share of contribs'!A98</f>
        <v>93</v>
      </c>
      <c r="B102" s="84" t="str">
        <f>'2017 Prop share of contribs'!B98</f>
        <v xml:space="preserve">OLDHAM COUNTY SCHOOLS  </v>
      </c>
      <c r="C102" s="25" t="s">
        <v>212</v>
      </c>
      <c r="D102" s="33">
        <f>ROUND('Employer Allocations'!G141,8)</f>
        <v>0</v>
      </c>
      <c r="E102" s="4">
        <f>ROUND('Employer Allocations'!H141,8)</f>
        <v>1.7230019999999999E-2</v>
      </c>
      <c r="F102" s="4">
        <f>ROUND('Employer Allocations'!I141,8)</f>
        <v>1.7230019999999999E-2</v>
      </c>
      <c r="G102" s="4">
        <v>0</v>
      </c>
      <c r="H102" s="4">
        <v>1.717142E-2</v>
      </c>
      <c r="I102" s="4">
        <v>1.717142E-2</v>
      </c>
      <c r="J102" s="7">
        <f t="shared" si="50"/>
        <v>0</v>
      </c>
      <c r="K102" s="7">
        <f t="shared" si="51"/>
        <v>464913222</v>
      </c>
      <c r="L102" s="7">
        <f t="shared" si="59"/>
        <v>464913222</v>
      </c>
      <c r="M102" s="7"/>
      <c r="N102" s="7">
        <f t="shared" si="52"/>
        <v>0</v>
      </c>
      <c r="O102" s="32">
        <f t="shared" si="53"/>
        <v>0</v>
      </c>
      <c r="P102" s="32"/>
      <c r="Q102" s="32">
        <f t="shared" si="54"/>
        <v>33094693</v>
      </c>
      <c r="R102" s="32">
        <f t="shared" si="60"/>
        <v>33094693</v>
      </c>
      <c r="S102" s="32">
        <f t="shared" si="61"/>
        <v>0</v>
      </c>
      <c r="T102" s="32">
        <f t="shared" si="55"/>
        <v>0</v>
      </c>
      <c r="U102" s="32">
        <f t="shared" si="89"/>
        <v>0</v>
      </c>
      <c r="V102" s="32">
        <f t="shared" si="89"/>
        <v>0</v>
      </c>
      <c r="W102" s="32">
        <f t="shared" si="89"/>
        <v>0</v>
      </c>
      <c r="X102" s="32">
        <f t="shared" si="62"/>
        <v>0</v>
      </c>
      <c r="Y102" s="32"/>
      <c r="Z102" s="32">
        <f t="shared" si="89"/>
        <v>0</v>
      </c>
      <c r="AA102" s="32">
        <f t="shared" si="89"/>
        <v>0</v>
      </c>
      <c r="AB102" s="32">
        <f t="shared" si="89"/>
        <v>0</v>
      </c>
      <c r="AC102" s="32">
        <f t="shared" si="63"/>
        <v>0</v>
      </c>
      <c r="AD102" s="32"/>
      <c r="AE102" s="32">
        <f t="shared" si="89"/>
        <v>0</v>
      </c>
      <c r="AF102" s="32">
        <f t="shared" si="89"/>
        <v>0</v>
      </c>
      <c r="AG102" s="32">
        <f t="shared" si="89"/>
        <v>0</v>
      </c>
      <c r="AH102" s="32">
        <f t="shared" si="89"/>
        <v>0</v>
      </c>
      <c r="AI102" s="32">
        <f t="shared" si="89"/>
        <v>0</v>
      </c>
      <c r="AJ102" s="32">
        <f t="shared" si="88"/>
        <v>0</v>
      </c>
      <c r="AK102" s="7">
        <v>0</v>
      </c>
      <c r="AL102" s="32">
        <v>0</v>
      </c>
      <c r="AM102" s="32"/>
      <c r="AN102" s="4">
        <v>0</v>
      </c>
      <c r="AO102" s="32">
        <f t="shared" si="64"/>
        <v>0</v>
      </c>
      <c r="AP102" s="32">
        <f t="shared" si="65"/>
        <v>0</v>
      </c>
      <c r="AS102" s="32">
        <f t="shared" si="66"/>
        <v>0</v>
      </c>
      <c r="AT102" s="32">
        <f t="shared" si="56"/>
        <v>0</v>
      </c>
      <c r="AU102" s="32">
        <f t="shared" si="67"/>
        <v>0</v>
      </c>
      <c r="AV102" s="4">
        <f t="shared" si="68"/>
        <v>0</v>
      </c>
      <c r="AW102" s="32">
        <f t="shared" si="69"/>
        <v>0</v>
      </c>
      <c r="AX102" s="4">
        <f t="shared" si="70"/>
        <v>0</v>
      </c>
      <c r="AY102" s="32">
        <f t="shared" si="71"/>
        <v>0</v>
      </c>
      <c r="AZ102" s="4">
        <f t="shared" si="72"/>
        <v>0</v>
      </c>
      <c r="BA102" s="32">
        <f t="shared" si="73"/>
        <v>0</v>
      </c>
      <c r="BB102" s="32">
        <f t="shared" si="57"/>
        <v>0</v>
      </c>
      <c r="BC102" s="32">
        <f t="shared" si="74"/>
        <v>0</v>
      </c>
      <c r="BD102" s="32">
        <f t="shared" si="75"/>
        <v>0</v>
      </c>
      <c r="BF102" s="32">
        <f t="shared" si="76"/>
        <v>0</v>
      </c>
      <c r="BG102" s="32">
        <f t="shared" si="58"/>
        <v>0</v>
      </c>
      <c r="BH102" s="32">
        <f t="shared" si="77"/>
        <v>0</v>
      </c>
      <c r="BI102" s="4">
        <f t="shared" si="78"/>
        <v>0</v>
      </c>
      <c r="BJ102" s="32">
        <f t="shared" si="79"/>
        <v>0</v>
      </c>
      <c r="BK102" s="4">
        <f t="shared" si="80"/>
        <v>0</v>
      </c>
      <c r="BL102" s="32">
        <f t="shared" si="81"/>
        <v>0</v>
      </c>
      <c r="BM102" s="4">
        <f t="shared" si="82"/>
        <v>0</v>
      </c>
      <c r="BN102" s="32">
        <f t="shared" si="83"/>
        <v>0</v>
      </c>
      <c r="BO102" s="4">
        <f t="shared" si="84"/>
        <v>0</v>
      </c>
      <c r="BP102" s="32">
        <f t="shared" si="85"/>
        <v>0</v>
      </c>
      <c r="BQ102" s="32">
        <f t="shared" si="86"/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0</v>
      </c>
      <c r="DL102" s="4">
        <v>0</v>
      </c>
      <c r="DM102" s="4">
        <v>0</v>
      </c>
      <c r="DN102" s="4">
        <v>0</v>
      </c>
      <c r="DO102" s="4">
        <v>0</v>
      </c>
      <c r="DP102" s="4">
        <v>0</v>
      </c>
      <c r="DQ102" s="4">
        <v>0</v>
      </c>
    </row>
    <row r="103" spans="1:121" x14ac:dyDescent="0.35">
      <c r="A103" s="84">
        <f>'2017 Prop share of contribs'!A99</f>
        <v>94</v>
      </c>
      <c r="B103" s="84" t="str">
        <f>'2017 Prop share of contribs'!B99</f>
        <v xml:space="preserve">OWEN COUNTY SCHOOLS  </v>
      </c>
      <c r="C103" s="25" t="s">
        <v>213</v>
      </c>
      <c r="D103" s="33">
        <f>ROUND('Employer Allocations'!G142,8)</f>
        <v>0</v>
      </c>
      <c r="E103" s="4">
        <f>ROUND('Employer Allocations'!H142,8)</f>
        <v>2.2443599999999999E-3</v>
      </c>
      <c r="F103" s="4">
        <f>ROUND('Employer Allocations'!I142,8)</f>
        <v>2.2443599999999999E-3</v>
      </c>
      <c r="G103" s="4">
        <v>0</v>
      </c>
      <c r="H103" s="4">
        <v>2.2600799999999998E-3</v>
      </c>
      <c r="I103" s="4">
        <v>2.2600799999999998E-3</v>
      </c>
      <c r="J103" s="7">
        <f t="shared" si="50"/>
        <v>0</v>
      </c>
      <c r="K103" s="7">
        <f t="shared" si="51"/>
        <v>60558992</v>
      </c>
      <c r="L103" s="7">
        <f t="shared" si="59"/>
        <v>60558992</v>
      </c>
      <c r="M103" s="7"/>
      <c r="N103" s="7">
        <f t="shared" si="52"/>
        <v>0</v>
      </c>
      <c r="O103" s="32">
        <f t="shared" si="53"/>
        <v>0</v>
      </c>
      <c r="P103" s="32"/>
      <c r="Q103" s="32">
        <f t="shared" si="54"/>
        <v>4310872</v>
      </c>
      <c r="R103" s="32">
        <f t="shared" si="60"/>
        <v>4310872</v>
      </c>
      <c r="S103" s="32">
        <f t="shared" si="61"/>
        <v>0</v>
      </c>
      <c r="T103" s="32">
        <f t="shared" si="55"/>
        <v>0</v>
      </c>
      <c r="U103" s="32">
        <f t="shared" si="89"/>
        <v>0</v>
      </c>
      <c r="V103" s="32">
        <f t="shared" si="89"/>
        <v>0</v>
      </c>
      <c r="W103" s="32">
        <f t="shared" si="89"/>
        <v>0</v>
      </c>
      <c r="X103" s="32">
        <f t="shared" si="62"/>
        <v>0</v>
      </c>
      <c r="Y103" s="32"/>
      <c r="Z103" s="32">
        <f t="shared" si="89"/>
        <v>0</v>
      </c>
      <c r="AA103" s="32">
        <f t="shared" si="89"/>
        <v>0</v>
      </c>
      <c r="AB103" s="32">
        <f t="shared" si="89"/>
        <v>0</v>
      </c>
      <c r="AC103" s="32">
        <f t="shared" si="63"/>
        <v>0</v>
      </c>
      <c r="AD103" s="32"/>
      <c r="AE103" s="32">
        <f t="shared" si="89"/>
        <v>0</v>
      </c>
      <c r="AF103" s="32">
        <f t="shared" si="89"/>
        <v>0</v>
      </c>
      <c r="AG103" s="32">
        <f t="shared" si="89"/>
        <v>0</v>
      </c>
      <c r="AH103" s="32">
        <f t="shared" si="89"/>
        <v>0</v>
      </c>
      <c r="AI103" s="32">
        <f t="shared" si="89"/>
        <v>0</v>
      </c>
      <c r="AJ103" s="32">
        <f t="shared" si="88"/>
        <v>0</v>
      </c>
      <c r="AK103" s="7">
        <v>0</v>
      </c>
      <c r="AL103" s="32">
        <v>0</v>
      </c>
      <c r="AM103" s="32"/>
      <c r="AN103" s="4">
        <v>0</v>
      </c>
      <c r="AO103" s="32">
        <f t="shared" si="64"/>
        <v>0</v>
      </c>
      <c r="AP103" s="32">
        <f t="shared" si="65"/>
        <v>0</v>
      </c>
      <c r="AS103" s="32">
        <f t="shared" si="66"/>
        <v>0</v>
      </c>
      <c r="AT103" s="32">
        <f t="shared" si="56"/>
        <v>0</v>
      </c>
      <c r="AU103" s="32">
        <f t="shared" si="67"/>
        <v>0</v>
      </c>
      <c r="AV103" s="4">
        <f t="shared" si="68"/>
        <v>0</v>
      </c>
      <c r="AW103" s="32">
        <f t="shared" si="69"/>
        <v>0</v>
      </c>
      <c r="AX103" s="4">
        <f t="shared" si="70"/>
        <v>0</v>
      </c>
      <c r="AY103" s="32">
        <f t="shared" si="71"/>
        <v>0</v>
      </c>
      <c r="AZ103" s="4">
        <f t="shared" si="72"/>
        <v>0</v>
      </c>
      <c r="BA103" s="32">
        <f t="shared" si="73"/>
        <v>0</v>
      </c>
      <c r="BB103" s="32">
        <f t="shared" si="57"/>
        <v>0</v>
      </c>
      <c r="BC103" s="32">
        <f t="shared" si="74"/>
        <v>0</v>
      </c>
      <c r="BD103" s="32">
        <f t="shared" si="75"/>
        <v>0</v>
      </c>
      <c r="BF103" s="32">
        <f t="shared" si="76"/>
        <v>0</v>
      </c>
      <c r="BG103" s="32">
        <f t="shared" si="58"/>
        <v>0</v>
      </c>
      <c r="BH103" s="32">
        <f t="shared" si="77"/>
        <v>0</v>
      </c>
      <c r="BI103" s="4">
        <f t="shared" si="78"/>
        <v>0</v>
      </c>
      <c r="BJ103" s="32">
        <f t="shared" si="79"/>
        <v>0</v>
      </c>
      <c r="BK103" s="4">
        <f t="shared" si="80"/>
        <v>0</v>
      </c>
      <c r="BL103" s="32">
        <f t="shared" si="81"/>
        <v>0</v>
      </c>
      <c r="BM103" s="4">
        <f t="shared" si="82"/>
        <v>0</v>
      </c>
      <c r="BN103" s="32">
        <f t="shared" si="83"/>
        <v>0</v>
      </c>
      <c r="BO103" s="4">
        <f t="shared" si="84"/>
        <v>0</v>
      </c>
      <c r="BP103" s="32">
        <f t="shared" si="85"/>
        <v>0</v>
      </c>
      <c r="BQ103" s="32">
        <f t="shared" si="86"/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  <c r="DO103" s="4">
        <v>0</v>
      </c>
      <c r="DP103" s="4">
        <v>0</v>
      </c>
      <c r="DQ103" s="4">
        <v>0</v>
      </c>
    </row>
    <row r="104" spans="1:121" x14ac:dyDescent="0.35">
      <c r="A104" s="84">
        <f>'2017 Prop share of contribs'!A100</f>
        <v>95</v>
      </c>
      <c r="B104" s="84" t="str">
        <f>'2017 Prop share of contribs'!B100</f>
        <v xml:space="preserve">OWSLEY COUNTY SCHOOLS  </v>
      </c>
      <c r="C104" s="25" t="s">
        <v>214</v>
      </c>
      <c r="D104" s="33">
        <f>ROUND('Employer Allocations'!G143,8)</f>
        <v>0</v>
      </c>
      <c r="E104" s="4">
        <f>ROUND('Employer Allocations'!H143,8)</f>
        <v>8.8776000000000002E-4</v>
      </c>
      <c r="F104" s="4">
        <f>ROUND('Employer Allocations'!I143,8)</f>
        <v>8.8776000000000002E-4</v>
      </c>
      <c r="G104" s="4">
        <v>0</v>
      </c>
      <c r="H104" s="4">
        <v>9.7643999999999997E-4</v>
      </c>
      <c r="I104" s="4">
        <v>9.7643999999999997E-4</v>
      </c>
      <c r="J104" s="7">
        <f t="shared" si="50"/>
        <v>0</v>
      </c>
      <c r="K104" s="7">
        <f t="shared" si="51"/>
        <v>23954201</v>
      </c>
      <c r="L104" s="7">
        <f t="shared" si="59"/>
        <v>23954201</v>
      </c>
      <c r="M104" s="7"/>
      <c r="N104" s="7">
        <f t="shared" si="52"/>
        <v>0</v>
      </c>
      <c r="O104" s="32">
        <f t="shared" si="53"/>
        <v>0</v>
      </c>
      <c r="P104" s="32"/>
      <c r="Q104" s="32">
        <f t="shared" si="54"/>
        <v>1705172</v>
      </c>
      <c r="R104" s="32">
        <f t="shared" si="60"/>
        <v>1705172</v>
      </c>
      <c r="S104" s="32">
        <f t="shared" si="61"/>
        <v>0</v>
      </c>
      <c r="T104" s="32">
        <f t="shared" si="55"/>
        <v>0</v>
      </c>
      <c r="U104" s="32">
        <f t="shared" si="89"/>
        <v>0</v>
      </c>
      <c r="V104" s="32">
        <f t="shared" si="89"/>
        <v>0</v>
      </c>
      <c r="W104" s="32">
        <f t="shared" si="89"/>
        <v>0</v>
      </c>
      <c r="X104" s="32">
        <f t="shared" si="62"/>
        <v>0</v>
      </c>
      <c r="Y104" s="32"/>
      <c r="Z104" s="32">
        <f t="shared" si="89"/>
        <v>0</v>
      </c>
      <c r="AA104" s="32">
        <f t="shared" si="89"/>
        <v>0</v>
      </c>
      <c r="AB104" s="32">
        <f t="shared" si="89"/>
        <v>0</v>
      </c>
      <c r="AC104" s="32">
        <f t="shared" si="63"/>
        <v>0</v>
      </c>
      <c r="AD104" s="32"/>
      <c r="AE104" s="32">
        <f t="shared" si="89"/>
        <v>0</v>
      </c>
      <c r="AF104" s="32">
        <f t="shared" si="89"/>
        <v>0</v>
      </c>
      <c r="AG104" s="32">
        <f t="shared" si="89"/>
        <v>0</v>
      </c>
      <c r="AH104" s="32">
        <f t="shared" si="89"/>
        <v>0</v>
      </c>
      <c r="AI104" s="32">
        <f t="shared" si="89"/>
        <v>0</v>
      </c>
      <c r="AJ104" s="32">
        <f t="shared" si="88"/>
        <v>0</v>
      </c>
      <c r="AK104" s="7">
        <v>0</v>
      </c>
      <c r="AL104" s="32">
        <v>0</v>
      </c>
      <c r="AM104" s="32"/>
      <c r="AN104" s="4">
        <v>0</v>
      </c>
      <c r="AO104" s="32">
        <f t="shared" si="64"/>
        <v>0</v>
      </c>
      <c r="AP104" s="32">
        <f t="shared" si="65"/>
        <v>0</v>
      </c>
      <c r="AS104" s="32">
        <f t="shared" si="66"/>
        <v>0</v>
      </c>
      <c r="AT104" s="32">
        <f t="shared" si="56"/>
        <v>0</v>
      </c>
      <c r="AU104" s="32">
        <f t="shared" si="67"/>
        <v>0</v>
      </c>
      <c r="AV104" s="4">
        <f t="shared" si="68"/>
        <v>0</v>
      </c>
      <c r="AW104" s="32">
        <f t="shared" si="69"/>
        <v>0</v>
      </c>
      <c r="AX104" s="4">
        <f t="shared" si="70"/>
        <v>0</v>
      </c>
      <c r="AY104" s="32">
        <f t="shared" si="71"/>
        <v>0</v>
      </c>
      <c r="AZ104" s="4">
        <f t="shared" si="72"/>
        <v>0</v>
      </c>
      <c r="BA104" s="32">
        <f t="shared" si="73"/>
        <v>0</v>
      </c>
      <c r="BB104" s="32">
        <f t="shared" si="57"/>
        <v>0</v>
      </c>
      <c r="BC104" s="32">
        <f t="shared" si="74"/>
        <v>0</v>
      </c>
      <c r="BD104" s="32">
        <f t="shared" si="75"/>
        <v>0</v>
      </c>
      <c r="BF104" s="32">
        <f t="shared" si="76"/>
        <v>0</v>
      </c>
      <c r="BG104" s="32">
        <f t="shared" si="58"/>
        <v>0</v>
      </c>
      <c r="BH104" s="32">
        <f t="shared" si="77"/>
        <v>0</v>
      </c>
      <c r="BI104" s="4">
        <f t="shared" si="78"/>
        <v>0</v>
      </c>
      <c r="BJ104" s="32">
        <f t="shared" si="79"/>
        <v>0</v>
      </c>
      <c r="BK104" s="4">
        <f t="shared" si="80"/>
        <v>0</v>
      </c>
      <c r="BL104" s="32">
        <f t="shared" si="81"/>
        <v>0</v>
      </c>
      <c r="BM104" s="4">
        <f t="shared" si="82"/>
        <v>0</v>
      </c>
      <c r="BN104" s="32">
        <f t="shared" si="83"/>
        <v>0</v>
      </c>
      <c r="BO104" s="4">
        <f t="shared" si="84"/>
        <v>0</v>
      </c>
      <c r="BP104" s="32">
        <f t="shared" si="85"/>
        <v>0</v>
      </c>
      <c r="BQ104" s="32">
        <f t="shared" si="86"/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  <c r="DO104" s="4">
        <v>0</v>
      </c>
      <c r="DP104" s="4">
        <v>0</v>
      </c>
      <c r="DQ104" s="4">
        <v>0</v>
      </c>
    </row>
    <row r="105" spans="1:121" x14ac:dyDescent="0.35">
      <c r="A105" s="84">
        <f>'2017 Prop share of contribs'!A101</f>
        <v>96</v>
      </c>
      <c r="B105" s="84" t="str">
        <f>'2017 Prop share of contribs'!B101</f>
        <v xml:space="preserve">PENDLETON COUNTY SCHOOLS  </v>
      </c>
      <c r="C105" s="25" t="s">
        <v>215</v>
      </c>
      <c r="D105" s="33">
        <f>ROUND('Employer Allocations'!G144,8)</f>
        <v>0</v>
      </c>
      <c r="E105" s="4">
        <f>ROUND('Employer Allocations'!H144,8)</f>
        <v>2.9496800000000001E-3</v>
      </c>
      <c r="F105" s="4">
        <f>ROUND('Employer Allocations'!I144,8)</f>
        <v>2.9496800000000001E-3</v>
      </c>
      <c r="G105" s="4">
        <v>0</v>
      </c>
      <c r="H105" s="4">
        <v>3.0828700000000001E-3</v>
      </c>
      <c r="I105" s="4">
        <v>3.0828700000000001E-3</v>
      </c>
      <c r="J105" s="7">
        <f t="shared" si="50"/>
        <v>0</v>
      </c>
      <c r="K105" s="7">
        <f t="shared" si="51"/>
        <v>79590461</v>
      </c>
      <c r="L105" s="7">
        <f t="shared" si="59"/>
        <v>79590461</v>
      </c>
      <c r="M105" s="7"/>
      <c r="N105" s="7">
        <f t="shared" si="52"/>
        <v>0</v>
      </c>
      <c r="O105" s="32">
        <f t="shared" si="53"/>
        <v>0</v>
      </c>
      <c r="P105" s="32"/>
      <c r="Q105" s="32">
        <f t="shared" si="54"/>
        <v>5665620</v>
      </c>
      <c r="R105" s="32">
        <f t="shared" si="60"/>
        <v>5665620</v>
      </c>
      <c r="S105" s="32">
        <f t="shared" si="61"/>
        <v>0</v>
      </c>
      <c r="T105" s="32">
        <f t="shared" si="55"/>
        <v>0</v>
      </c>
      <c r="U105" s="32">
        <f t="shared" si="89"/>
        <v>0</v>
      </c>
      <c r="V105" s="32">
        <f t="shared" si="89"/>
        <v>0</v>
      </c>
      <c r="W105" s="32">
        <f t="shared" si="89"/>
        <v>0</v>
      </c>
      <c r="X105" s="32">
        <f t="shared" si="62"/>
        <v>0</v>
      </c>
      <c r="Y105" s="32"/>
      <c r="Z105" s="32">
        <f t="shared" si="89"/>
        <v>0</v>
      </c>
      <c r="AA105" s="32">
        <f t="shared" si="89"/>
        <v>0</v>
      </c>
      <c r="AB105" s="32">
        <f t="shared" si="89"/>
        <v>0</v>
      </c>
      <c r="AC105" s="32">
        <f t="shared" si="63"/>
        <v>0</v>
      </c>
      <c r="AD105" s="32"/>
      <c r="AE105" s="32">
        <f t="shared" si="89"/>
        <v>0</v>
      </c>
      <c r="AF105" s="32">
        <f t="shared" si="89"/>
        <v>0</v>
      </c>
      <c r="AG105" s="32">
        <f t="shared" si="89"/>
        <v>0</v>
      </c>
      <c r="AH105" s="32">
        <f t="shared" si="89"/>
        <v>0</v>
      </c>
      <c r="AI105" s="32">
        <f t="shared" si="89"/>
        <v>0</v>
      </c>
      <c r="AJ105" s="32">
        <f t="shared" si="88"/>
        <v>0</v>
      </c>
      <c r="AK105" s="7">
        <v>0</v>
      </c>
      <c r="AL105" s="32">
        <v>0</v>
      </c>
      <c r="AM105" s="32"/>
      <c r="AN105" s="4">
        <v>0</v>
      </c>
      <c r="AO105" s="32">
        <f t="shared" si="64"/>
        <v>0</v>
      </c>
      <c r="AP105" s="32">
        <f t="shared" si="65"/>
        <v>0</v>
      </c>
      <c r="AS105" s="32">
        <f t="shared" si="66"/>
        <v>0</v>
      </c>
      <c r="AT105" s="32">
        <f t="shared" si="56"/>
        <v>0</v>
      </c>
      <c r="AU105" s="32">
        <f t="shared" si="67"/>
        <v>0</v>
      </c>
      <c r="AV105" s="4">
        <f t="shared" si="68"/>
        <v>0</v>
      </c>
      <c r="AW105" s="32">
        <f t="shared" si="69"/>
        <v>0</v>
      </c>
      <c r="AX105" s="4">
        <f t="shared" si="70"/>
        <v>0</v>
      </c>
      <c r="AY105" s="32">
        <f t="shared" si="71"/>
        <v>0</v>
      </c>
      <c r="AZ105" s="4">
        <f t="shared" si="72"/>
        <v>0</v>
      </c>
      <c r="BA105" s="32">
        <f t="shared" si="73"/>
        <v>0</v>
      </c>
      <c r="BB105" s="32">
        <f t="shared" si="57"/>
        <v>0</v>
      </c>
      <c r="BC105" s="32">
        <f t="shared" si="74"/>
        <v>0</v>
      </c>
      <c r="BD105" s="32">
        <f t="shared" si="75"/>
        <v>0</v>
      </c>
      <c r="BF105" s="32">
        <f t="shared" si="76"/>
        <v>0</v>
      </c>
      <c r="BG105" s="32">
        <f t="shared" si="58"/>
        <v>0</v>
      </c>
      <c r="BH105" s="32">
        <f t="shared" si="77"/>
        <v>0</v>
      </c>
      <c r="BI105" s="4">
        <f t="shared" si="78"/>
        <v>0</v>
      </c>
      <c r="BJ105" s="32">
        <f t="shared" si="79"/>
        <v>0</v>
      </c>
      <c r="BK105" s="4">
        <f t="shared" si="80"/>
        <v>0</v>
      </c>
      <c r="BL105" s="32">
        <f t="shared" si="81"/>
        <v>0</v>
      </c>
      <c r="BM105" s="4">
        <f t="shared" si="82"/>
        <v>0</v>
      </c>
      <c r="BN105" s="32">
        <f t="shared" si="83"/>
        <v>0</v>
      </c>
      <c r="BO105" s="4">
        <f t="shared" si="84"/>
        <v>0</v>
      </c>
      <c r="BP105" s="32">
        <f t="shared" si="85"/>
        <v>0</v>
      </c>
      <c r="BQ105" s="32">
        <f t="shared" si="86"/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F105" s="4">
        <v>0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  <c r="DO105" s="4">
        <v>0</v>
      </c>
      <c r="DP105" s="4">
        <v>0</v>
      </c>
      <c r="DQ105" s="4">
        <v>0</v>
      </c>
    </row>
    <row r="106" spans="1:121" x14ac:dyDescent="0.35">
      <c r="A106" s="84">
        <f>'2017 Prop share of contribs'!A102</f>
        <v>97</v>
      </c>
      <c r="B106" s="84" t="str">
        <f>'2017 Prop share of contribs'!B102</f>
        <v xml:space="preserve">PERRY COUNTY SCHOOLS  </v>
      </c>
      <c r="C106" s="25" t="s">
        <v>216</v>
      </c>
      <c r="D106" s="33">
        <f>ROUND('Employer Allocations'!G145,8)</f>
        <v>0</v>
      </c>
      <c r="E106" s="4">
        <f>ROUND('Employer Allocations'!H145,8)</f>
        <v>5.00937E-3</v>
      </c>
      <c r="F106" s="4">
        <f>ROUND('Employer Allocations'!I145,8)</f>
        <v>5.00937E-3</v>
      </c>
      <c r="G106" s="4">
        <v>0</v>
      </c>
      <c r="H106" s="4">
        <v>5.1275399999999999E-3</v>
      </c>
      <c r="I106" s="4">
        <v>5.1275399999999999E-3</v>
      </c>
      <c r="J106" s="7">
        <f t="shared" si="50"/>
        <v>0</v>
      </c>
      <c r="K106" s="7">
        <f t="shared" si="51"/>
        <v>135166549</v>
      </c>
      <c r="L106" s="7">
        <f t="shared" si="59"/>
        <v>135166549</v>
      </c>
      <c r="M106" s="7"/>
      <c r="N106" s="7">
        <f t="shared" si="52"/>
        <v>0</v>
      </c>
      <c r="O106" s="32">
        <f t="shared" si="53"/>
        <v>0</v>
      </c>
      <c r="P106" s="32"/>
      <c r="Q106" s="32">
        <f t="shared" si="54"/>
        <v>9621786</v>
      </c>
      <c r="R106" s="32">
        <f t="shared" si="60"/>
        <v>9621786</v>
      </c>
      <c r="S106" s="32">
        <f t="shared" si="61"/>
        <v>0</v>
      </c>
      <c r="T106" s="32">
        <f t="shared" si="55"/>
        <v>0</v>
      </c>
      <c r="U106" s="32">
        <f t="shared" si="89"/>
        <v>0</v>
      </c>
      <c r="V106" s="32">
        <f t="shared" si="89"/>
        <v>0</v>
      </c>
      <c r="W106" s="32">
        <f t="shared" si="89"/>
        <v>0</v>
      </c>
      <c r="X106" s="32">
        <f t="shared" si="62"/>
        <v>0</v>
      </c>
      <c r="Y106" s="32"/>
      <c r="Z106" s="32">
        <f t="shared" si="89"/>
        <v>0</v>
      </c>
      <c r="AA106" s="32">
        <f t="shared" si="89"/>
        <v>0</v>
      </c>
      <c r="AB106" s="32">
        <f t="shared" si="89"/>
        <v>0</v>
      </c>
      <c r="AC106" s="32">
        <f t="shared" si="63"/>
        <v>0</v>
      </c>
      <c r="AD106" s="32"/>
      <c r="AE106" s="32">
        <f t="shared" si="89"/>
        <v>0</v>
      </c>
      <c r="AF106" s="32">
        <f t="shared" si="89"/>
        <v>0</v>
      </c>
      <c r="AG106" s="32">
        <f t="shared" si="89"/>
        <v>0</v>
      </c>
      <c r="AH106" s="32">
        <f t="shared" si="89"/>
        <v>0</v>
      </c>
      <c r="AI106" s="32">
        <f t="shared" si="89"/>
        <v>0</v>
      </c>
      <c r="AJ106" s="32">
        <f t="shared" si="89"/>
        <v>0</v>
      </c>
      <c r="AK106" s="7">
        <v>0</v>
      </c>
      <c r="AL106" s="32">
        <v>0</v>
      </c>
      <c r="AM106" s="32"/>
      <c r="AN106" s="4">
        <v>0</v>
      </c>
      <c r="AO106" s="32">
        <f t="shared" si="64"/>
        <v>0</v>
      </c>
      <c r="AP106" s="32">
        <f t="shared" si="65"/>
        <v>0</v>
      </c>
      <c r="AS106" s="32">
        <f t="shared" si="66"/>
        <v>0</v>
      </c>
      <c r="AT106" s="32">
        <f t="shared" si="56"/>
        <v>0</v>
      </c>
      <c r="AU106" s="32">
        <f t="shared" si="67"/>
        <v>0</v>
      </c>
      <c r="AV106" s="4">
        <f t="shared" si="68"/>
        <v>0</v>
      </c>
      <c r="AW106" s="32">
        <f t="shared" si="69"/>
        <v>0</v>
      </c>
      <c r="AX106" s="4">
        <f t="shared" si="70"/>
        <v>0</v>
      </c>
      <c r="AY106" s="32">
        <f t="shared" si="71"/>
        <v>0</v>
      </c>
      <c r="AZ106" s="4">
        <f t="shared" si="72"/>
        <v>0</v>
      </c>
      <c r="BA106" s="32">
        <f t="shared" si="73"/>
        <v>0</v>
      </c>
      <c r="BB106" s="32">
        <f t="shared" si="57"/>
        <v>0</v>
      </c>
      <c r="BC106" s="32">
        <f t="shared" si="74"/>
        <v>0</v>
      </c>
      <c r="BD106" s="32">
        <f t="shared" si="75"/>
        <v>0</v>
      </c>
      <c r="BF106" s="32">
        <f t="shared" si="76"/>
        <v>0</v>
      </c>
      <c r="BG106" s="32">
        <f t="shared" si="58"/>
        <v>0</v>
      </c>
      <c r="BH106" s="32">
        <f t="shared" si="77"/>
        <v>0</v>
      </c>
      <c r="BI106" s="4">
        <f t="shared" si="78"/>
        <v>0</v>
      </c>
      <c r="BJ106" s="32">
        <f t="shared" si="79"/>
        <v>0</v>
      </c>
      <c r="BK106" s="4">
        <f t="shared" si="80"/>
        <v>0</v>
      </c>
      <c r="BL106" s="32">
        <f t="shared" si="81"/>
        <v>0</v>
      </c>
      <c r="BM106" s="4">
        <f t="shared" si="82"/>
        <v>0</v>
      </c>
      <c r="BN106" s="32">
        <f t="shared" si="83"/>
        <v>0</v>
      </c>
      <c r="BO106" s="4">
        <f t="shared" si="84"/>
        <v>0</v>
      </c>
      <c r="BP106" s="32">
        <f t="shared" si="85"/>
        <v>0</v>
      </c>
      <c r="BQ106" s="32">
        <f t="shared" si="86"/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</row>
    <row r="107" spans="1:121" x14ac:dyDescent="0.35">
      <c r="A107" s="84">
        <f>'2017 Prop share of contribs'!A103</f>
        <v>98</v>
      </c>
      <c r="B107" s="84" t="str">
        <f>'2017 Prop share of contribs'!B103</f>
        <v xml:space="preserve">PIKE COUNTY SCHOOLS  </v>
      </c>
      <c r="C107" s="25" t="s">
        <v>217</v>
      </c>
      <c r="D107" s="33">
        <f>ROUND('Employer Allocations'!G146,8)</f>
        <v>0</v>
      </c>
      <c r="E107" s="4">
        <f>ROUND('Employer Allocations'!H146,8)</f>
        <v>1.158181E-2</v>
      </c>
      <c r="F107" s="4">
        <f>ROUND('Employer Allocations'!I146,8)</f>
        <v>1.158181E-2</v>
      </c>
      <c r="G107" s="4">
        <v>0</v>
      </c>
      <c r="H107" s="4">
        <v>1.19886E-2</v>
      </c>
      <c r="I107" s="4">
        <v>1.19886E-2</v>
      </c>
      <c r="J107" s="7">
        <f t="shared" si="50"/>
        <v>0</v>
      </c>
      <c r="K107" s="7">
        <f t="shared" si="51"/>
        <v>312509016</v>
      </c>
      <c r="L107" s="7">
        <f t="shared" si="59"/>
        <v>312509016</v>
      </c>
      <c r="M107" s="7"/>
      <c r="N107" s="7">
        <f t="shared" si="52"/>
        <v>0</v>
      </c>
      <c r="O107" s="32">
        <f t="shared" si="53"/>
        <v>0</v>
      </c>
      <c r="P107" s="32"/>
      <c r="Q107" s="32">
        <f t="shared" si="54"/>
        <v>22245850</v>
      </c>
      <c r="R107" s="32">
        <f t="shared" si="60"/>
        <v>22245850</v>
      </c>
      <c r="S107" s="32">
        <f t="shared" si="61"/>
        <v>0</v>
      </c>
      <c r="T107" s="32">
        <f t="shared" si="55"/>
        <v>0</v>
      </c>
      <c r="U107" s="32">
        <f t="shared" si="89"/>
        <v>0</v>
      </c>
      <c r="V107" s="32">
        <f t="shared" si="89"/>
        <v>0</v>
      </c>
      <c r="W107" s="32">
        <f t="shared" si="89"/>
        <v>0</v>
      </c>
      <c r="X107" s="32">
        <f t="shared" si="62"/>
        <v>0</v>
      </c>
      <c r="Y107" s="32"/>
      <c r="Z107" s="32">
        <f t="shared" si="89"/>
        <v>0</v>
      </c>
      <c r="AA107" s="32">
        <f t="shared" si="89"/>
        <v>0</v>
      </c>
      <c r="AB107" s="32">
        <f t="shared" si="89"/>
        <v>0</v>
      </c>
      <c r="AC107" s="32">
        <f t="shared" si="63"/>
        <v>0</v>
      </c>
      <c r="AD107" s="32"/>
      <c r="AE107" s="32">
        <f t="shared" si="89"/>
        <v>0</v>
      </c>
      <c r="AF107" s="32">
        <f t="shared" si="89"/>
        <v>0</v>
      </c>
      <c r="AG107" s="32">
        <f t="shared" si="89"/>
        <v>0</v>
      </c>
      <c r="AH107" s="32">
        <f t="shared" si="89"/>
        <v>0</v>
      </c>
      <c r="AI107" s="32">
        <f t="shared" si="89"/>
        <v>0</v>
      </c>
      <c r="AJ107" s="32">
        <f t="shared" si="89"/>
        <v>0</v>
      </c>
      <c r="AK107" s="7">
        <v>0</v>
      </c>
      <c r="AL107" s="32">
        <v>0</v>
      </c>
      <c r="AM107" s="32"/>
      <c r="AN107" s="4">
        <v>0</v>
      </c>
      <c r="AO107" s="32">
        <f t="shared" si="64"/>
        <v>0</v>
      </c>
      <c r="AP107" s="32">
        <f t="shared" si="65"/>
        <v>0</v>
      </c>
      <c r="AS107" s="32">
        <f t="shared" si="66"/>
        <v>0</v>
      </c>
      <c r="AT107" s="32">
        <f t="shared" si="56"/>
        <v>0</v>
      </c>
      <c r="AU107" s="32">
        <f t="shared" si="67"/>
        <v>0</v>
      </c>
      <c r="AV107" s="4">
        <f t="shared" si="68"/>
        <v>0</v>
      </c>
      <c r="AW107" s="32">
        <f t="shared" si="69"/>
        <v>0</v>
      </c>
      <c r="AX107" s="4">
        <f t="shared" si="70"/>
        <v>0</v>
      </c>
      <c r="AY107" s="32">
        <f t="shared" si="71"/>
        <v>0</v>
      </c>
      <c r="AZ107" s="4">
        <f t="shared" si="72"/>
        <v>0</v>
      </c>
      <c r="BA107" s="32">
        <f t="shared" si="73"/>
        <v>0</v>
      </c>
      <c r="BB107" s="32">
        <f t="shared" si="57"/>
        <v>0</v>
      </c>
      <c r="BC107" s="32">
        <f t="shared" si="74"/>
        <v>0</v>
      </c>
      <c r="BD107" s="32">
        <f t="shared" si="75"/>
        <v>0</v>
      </c>
      <c r="BF107" s="32">
        <f t="shared" si="76"/>
        <v>0</v>
      </c>
      <c r="BG107" s="32">
        <f t="shared" si="58"/>
        <v>0</v>
      </c>
      <c r="BH107" s="32">
        <f t="shared" si="77"/>
        <v>0</v>
      </c>
      <c r="BI107" s="4">
        <f t="shared" si="78"/>
        <v>0</v>
      </c>
      <c r="BJ107" s="32">
        <f t="shared" si="79"/>
        <v>0</v>
      </c>
      <c r="BK107" s="4">
        <f t="shared" si="80"/>
        <v>0</v>
      </c>
      <c r="BL107" s="32">
        <f t="shared" si="81"/>
        <v>0</v>
      </c>
      <c r="BM107" s="4">
        <f t="shared" si="82"/>
        <v>0</v>
      </c>
      <c r="BN107" s="32">
        <f t="shared" si="83"/>
        <v>0</v>
      </c>
      <c r="BO107" s="4">
        <f t="shared" si="84"/>
        <v>0</v>
      </c>
      <c r="BP107" s="32">
        <f t="shared" si="85"/>
        <v>0</v>
      </c>
      <c r="BQ107" s="32">
        <f t="shared" si="86"/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  <c r="DO107" s="4">
        <v>0</v>
      </c>
      <c r="DP107" s="4">
        <v>0</v>
      </c>
      <c r="DQ107" s="4">
        <v>0</v>
      </c>
    </row>
    <row r="108" spans="1:121" x14ac:dyDescent="0.35">
      <c r="A108" s="84">
        <f>'2017 Prop share of contribs'!A104</f>
        <v>99</v>
      </c>
      <c r="B108" s="84" t="str">
        <f>'2017 Prop share of contribs'!B104</f>
        <v xml:space="preserve">POWELL COUNTY SCHOOLS  </v>
      </c>
      <c r="C108" s="25" t="s">
        <v>218</v>
      </c>
      <c r="D108" s="33">
        <f>ROUND('Employer Allocations'!G147,8)</f>
        <v>0</v>
      </c>
      <c r="E108" s="4">
        <f>ROUND('Employer Allocations'!H147,8)</f>
        <v>3.0550799999999999E-3</v>
      </c>
      <c r="F108" s="4">
        <f>ROUND('Employer Allocations'!I147,8)</f>
        <v>3.0550799999999999E-3</v>
      </c>
      <c r="G108" s="4">
        <v>0</v>
      </c>
      <c r="H108" s="4">
        <v>3.05493E-3</v>
      </c>
      <c r="I108" s="4">
        <v>3.05493E-3</v>
      </c>
      <c r="J108" s="7">
        <f t="shared" si="50"/>
        <v>0</v>
      </c>
      <c r="K108" s="7">
        <f t="shared" si="51"/>
        <v>82434442</v>
      </c>
      <c r="L108" s="7">
        <f t="shared" si="59"/>
        <v>82434442</v>
      </c>
      <c r="M108" s="7"/>
      <c r="N108" s="7">
        <f t="shared" si="52"/>
        <v>0</v>
      </c>
      <c r="O108" s="32">
        <f t="shared" si="53"/>
        <v>0</v>
      </c>
      <c r="P108" s="32"/>
      <c r="Q108" s="32">
        <f t="shared" si="54"/>
        <v>5868068</v>
      </c>
      <c r="R108" s="32">
        <f t="shared" si="60"/>
        <v>5868068</v>
      </c>
      <c r="S108" s="32">
        <f t="shared" si="61"/>
        <v>0</v>
      </c>
      <c r="T108" s="32">
        <f t="shared" si="55"/>
        <v>0</v>
      </c>
      <c r="U108" s="32">
        <f t="shared" si="89"/>
        <v>0</v>
      </c>
      <c r="V108" s="32">
        <f t="shared" si="89"/>
        <v>0</v>
      </c>
      <c r="W108" s="32">
        <f t="shared" si="89"/>
        <v>0</v>
      </c>
      <c r="X108" s="32">
        <f t="shared" si="62"/>
        <v>0</v>
      </c>
      <c r="Y108" s="32"/>
      <c r="Z108" s="32">
        <f t="shared" si="89"/>
        <v>0</v>
      </c>
      <c r="AA108" s="32">
        <f t="shared" si="89"/>
        <v>0</v>
      </c>
      <c r="AB108" s="32">
        <f t="shared" si="89"/>
        <v>0</v>
      </c>
      <c r="AC108" s="32">
        <f t="shared" si="63"/>
        <v>0</v>
      </c>
      <c r="AD108" s="32"/>
      <c r="AE108" s="32">
        <f t="shared" si="89"/>
        <v>0</v>
      </c>
      <c r="AF108" s="32">
        <f t="shared" si="89"/>
        <v>0</v>
      </c>
      <c r="AG108" s="32">
        <f t="shared" si="89"/>
        <v>0</v>
      </c>
      <c r="AH108" s="32">
        <f t="shared" si="89"/>
        <v>0</v>
      </c>
      <c r="AI108" s="32">
        <f t="shared" si="89"/>
        <v>0</v>
      </c>
      <c r="AJ108" s="32">
        <f t="shared" si="89"/>
        <v>0</v>
      </c>
      <c r="AK108" s="7">
        <v>0</v>
      </c>
      <c r="AL108" s="32">
        <v>0</v>
      </c>
      <c r="AM108" s="32"/>
      <c r="AN108" s="4">
        <v>0</v>
      </c>
      <c r="AO108" s="32">
        <f t="shared" si="64"/>
        <v>0</v>
      </c>
      <c r="AP108" s="32">
        <f t="shared" si="65"/>
        <v>0</v>
      </c>
      <c r="AS108" s="32">
        <f t="shared" si="66"/>
        <v>0</v>
      </c>
      <c r="AT108" s="32">
        <f t="shared" si="56"/>
        <v>0</v>
      </c>
      <c r="AU108" s="32">
        <f t="shared" si="67"/>
        <v>0</v>
      </c>
      <c r="AV108" s="4">
        <f t="shared" si="68"/>
        <v>0</v>
      </c>
      <c r="AW108" s="32">
        <f t="shared" si="69"/>
        <v>0</v>
      </c>
      <c r="AX108" s="4">
        <f t="shared" si="70"/>
        <v>0</v>
      </c>
      <c r="AY108" s="32">
        <f t="shared" si="71"/>
        <v>0</v>
      </c>
      <c r="AZ108" s="4">
        <f t="shared" si="72"/>
        <v>0</v>
      </c>
      <c r="BA108" s="32">
        <f t="shared" si="73"/>
        <v>0</v>
      </c>
      <c r="BB108" s="32">
        <f t="shared" si="57"/>
        <v>0</v>
      </c>
      <c r="BC108" s="32">
        <f t="shared" si="74"/>
        <v>0</v>
      </c>
      <c r="BD108" s="32">
        <f t="shared" si="75"/>
        <v>0</v>
      </c>
      <c r="BF108" s="32">
        <f t="shared" si="76"/>
        <v>0</v>
      </c>
      <c r="BG108" s="32">
        <f t="shared" si="58"/>
        <v>0</v>
      </c>
      <c r="BH108" s="32">
        <f t="shared" si="77"/>
        <v>0</v>
      </c>
      <c r="BI108" s="4">
        <f t="shared" si="78"/>
        <v>0</v>
      </c>
      <c r="BJ108" s="32">
        <f t="shared" si="79"/>
        <v>0</v>
      </c>
      <c r="BK108" s="4">
        <f t="shared" si="80"/>
        <v>0</v>
      </c>
      <c r="BL108" s="32">
        <f t="shared" si="81"/>
        <v>0</v>
      </c>
      <c r="BM108" s="4">
        <f t="shared" si="82"/>
        <v>0</v>
      </c>
      <c r="BN108" s="32">
        <f t="shared" si="83"/>
        <v>0</v>
      </c>
      <c r="BO108" s="4">
        <f t="shared" si="84"/>
        <v>0</v>
      </c>
      <c r="BP108" s="32">
        <f t="shared" si="85"/>
        <v>0</v>
      </c>
      <c r="BQ108" s="32">
        <f t="shared" si="86"/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  <c r="DO108" s="4">
        <v>0</v>
      </c>
      <c r="DP108" s="4">
        <v>0</v>
      </c>
      <c r="DQ108" s="4">
        <v>0</v>
      </c>
    </row>
    <row r="109" spans="1:121" x14ac:dyDescent="0.35">
      <c r="A109" s="84">
        <f>'2017 Prop share of contribs'!A105</f>
        <v>100</v>
      </c>
      <c r="B109" s="84" t="str">
        <f>'2017 Prop share of contribs'!B105</f>
        <v xml:space="preserve">PULASKI COUNTY SCHOOLS  </v>
      </c>
      <c r="C109" s="25" t="s">
        <v>219</v>
      </c>
      <c r="D109" s="33">
        <f>ROUND('Employer Allocations'!G148,8)</f>
        <v>0</v>
      </c>
      <c r="E109" s="4">
        <f>ROUND('Employer Allocations'!H148,8)</f>
        <v>1.021301E-2</v>
      </c>
      <c r="F109" s="4">
        <f>ROUND('Employer Allocations'!I148,8)</f>
        <v>1.021301E-2</v>
      </c>
      <c r="G109" s="4">
        <v>0</v>
      </c>
      <c r="H109" s="4">
        <v>1.0280610000000001E-2</v>
      </c>
      <c r="I109" s="4">
        <v>1.0280610000000001E-2</v>
      </c>
      <c r="J109" s="7">
        <f t="shared" si="50"/>
        <v>0</v>
      </c>
      <c r="K109" s="7">
        <f t="shared" si="51"/>
        <v>275575036</v>
      </c>
      <c r="L109" s="7">
        <f t="shared" si="59"/>
        <v>275575036</v>
      </c>
      <c r="M109" s="7"/>
      <c r="N109" s="7">
        <f t="shared" si="52"/>
        <v>0</v>
      </c>
      <c r="O109" s="32">
        <f t="shared" si="53"/>
        <v>0</v>
      </c>
      <c r="P109" s="32"/>
      <c r="Q109" s="32">
        <f t="shared" si="54"/>
        <v>19616717</v>
      </c>
      <c r="R109" s="32">
        <f t="shared" si="60"/>
        <v>19616717</v>
      </c>
      <c r="S109" s="32">
        <f t="shared" si="61"/>
        <v>0</v>
      </c>
      <c r="T109" s="32">
        <f t="shared" si="55"/>
        <v>0</v>
      </c>
      <c r="U109" s="32">
        <f t="shared" si="89"/>
        <v>0</v>
      </c>
      <c r="V109" s="32">
        <f t="shared" si="89"/>
        <v>0</v>
      </c>
      <c r="W109" s="32">
        <f t="shared" si="89"/>
        <v>0</v>
      </c>
      <c r="X109" s="32">
        <f t="shared" si="62"/>
        <v>0</v>
      </c>
      <c r="Y109" s="32"/>
      <c r="Z109" s="32">
        <f t="shared" si="89"/>
        <v>0</v>
      </c>
      <c r="AA109" s="32">
        <f t="shared" si="89"/>
        <v>0</v>
      </c>
      <c r="AB109" s="32">
        <f t="shared" si="89"/>
        <v>0</v>
      </c>
      <c r="AC109" s="32">
        <f t="shared" si="63"/>
        <v>0</v>
      </c>
      <c r="AD109" s="32"/>
      <c r="AE109" s="32">
        <f t="shared" si="89"/>
        <v>0</v>
      </c>
      <c r="AF109" s="32">
        <f t="shared" si="89"/>
        <v>0</v>
      </c>
      <c r="AG109" s="32">
        <f t="shared" si="89"/>
        <v>0</v>
      </c>
      <c r="AH109" s="32">
        <f t="shared" si="89"/>
        <v>0</v>
      </c>
      <c r="AI109" s="32">
        <f t="shared" si="89"/>
        <v>0</v>
      </c>
      <c r="AJ109" s="32">
        <f t="shared" si="89"/>
        <v>0</v>
      </c>
      <c r="AK109" s="7">
        <v>0</v>
      </c>
      <c r="AL109" s="32">
        <v>0</v>
      </c>
      <c r="AM109" s="32"/>
      <c r="AN109" s="4">
        <v>0</v>
      </c>
      <c r="AO109" s="32">
        <f t="shared" si="64"/>
        <v>0</v>
      </c>
      <c r="AP109" s="32">
        <f t="shared" si="65"/>
        <v>0</v>
      </c>
      <c r="AS109" s="32">
        <f t="shared" si="66"/>
        <v>0</v>
      </c>
      <c r="AT109" s="32">
        <f t="shared" si="56"/>
        <v>0</v>
      </c>
      <c r="AU109" s="32">
        <f t="shared" si="67"/>
        <v>0</v>
      </c>
      <c r="AV109" s="4">
        <f t="shared" si="68"/>
        <v>0</v>
      </c>
      <c r="AW109" s="32">
        <f t="shared" si="69"/>
        <v>0</v>
      </c>
      <c r="AX109" s="4">
        <f t="shared" si="70"/>
        <v>0</v>
      </c>
      <c r="AY109" s="32">
        <f t="shared" si="71"/>
        <v>0</v>
      </c>
      <c r="AZ109" s="4">
        <f t="shared" si="72"/>
        <v>0</v>
      </c>
      <c r="BA109" s="32">
        <f t="shared" si="73"/>
        <v>0</v>
      </c>
      <c r="BB109" s="32">
        <f t="shared" si="57"/>
        <v>0</v>
      </c>
      <c r="BC109" s="32">
        <f t="shared" si="74"/>
        <v>0</v>
      </c>
      <c r="BD109" s="32">
        <f t="shared" si="75"/>
        <v>0</v>
      </c>
      <c r="BF109" s="32">
        <f t="shared" si="76"/>
        <v>0</v>
      </c>
      <c r="BG109" s="32">
        <f t="shared" si="58"/>
        <v>0</v>
      </c>
      <c r="BH109" s="32">
        <f t="shared" si="77"/>
        <v>0</v>
      </c>
      <c r="BI109" s="4">
        <f t="shared" si="78"/>
        <v>0</v>
      </c>
      <c r="BJ109" s="32">
        <f t="shared" si="79"/>
        <v>0</v>
      </c>
      <c r="BK109" s="4">
        <f t="shared" si="80"/>
        <v>0</v>
      </c>
      <c r="BL109" s="32">
        <f t="shared" si="81"/>
        <v>0</v>
      </c>
      <c r="BM109" s="4">
        <f t="shared" si="82"/>
        <v>0</v>
      </c>
      <c r="BN109" s="32">
        <f t="shared" si="83"/>
        <v>0</v>
      </c>
      <c r="BO109" s="4">
        <f t="shared" si="84"/>
        <v>0</v>
      </c>
      <c r="BP109" s="32">
        <f t="shared" si="85"/>
        <v>0</v>
      </c>
      <c r="BQ109" s="32">
        <f t="shared" si="86"/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F109" s="4">
        <v>0</v>
      </c>
      <c r="DG109" s="4">
        <v>0</v>
      </c>
      <c r="DH109" s="4">
        <v>0</v>
      </c>
      <c r="DI109" s="4">
        <v>0</v>
      </c>
      <c r="DJ109" s="4">
        <v>0</v>
      </c>
      <c r="DK109" s="4">
        <v>0</v>
      </c>
      <c r="DL109" s="4">
        <v>0</v>
      </c>
      <c r="DM109" s="4">
        <v>0</v>
      </c>
      <c r="DN109" s="4">
        <v>0</v>
      </c>
      <c r="DO109" s="4">
        <v>0</v>
      </c>
      <c r="DP109" s="4">
        <v>0</v>
      </c>
      <c r="DQ109" s="4">
        <v>0</v>
      </c>
    </row>
    <row r="110" spans="1:121" x14ac:dyDescent="0.35">
      <c r="A110" s="84">
        <f>'2017 Prop share of contribs'!A106</f>
        <v>101</v>
      </c>
      <c r="B110" s="84" t="str">
        <f>'2017 Prop share of contribs'!B106</f>
        <v xml:space="preserve">ROBERTSON COUNTY SCHOOLS  </v>
      </c>
      <c r="C110" s="25" t="s">
        <v>220</v>
      </c>
      <c r="D110" s="33">
        <f>ROUND('Employer Allocations'!G149,8)</f>
        <v>0</v>
      </c>
      <c r="E110" s="4">
        <f>ROUND('Employer Allocations'!H149,8)</f>
        <v>4.8356000000000001E-4</v>
      </c>
      <c r="F110" s="4">
        <f>ROUND('Employer Allocations'!I149,8)</f>
        <v>4.8356000000000001E-4</v>
      </c>
      <c r="G110" s="4">
        <v>0</v>
      </c>
      <c r="H110" s="4">
        <v>4.705E-4</v>
      </c>
      <c r="I110" s="4">
        <v>4.705E-4</v>
      </c>
      <c r="J110" s="7">
        <f t="shared" si="50"/>
        <v>0</v>
      </c>
      <c r="K110" s="7">
        <f t="shared" si="51"/>
        <v>13047776</v>
      </c>
      <c r="L110" s="7">
        <f t="shared" si="59"/>
        <v>13047776</v>
      </c>
      <c r="M110" s="7"/>
      <c r="N110" s="7">
        <f t="shared" si="52"/>
        <v>0</v>
      </c>
      <c r="O110" s="32">
        <f t="shared" si="53"/>
        <v>0</v>
      </c>
      <c r="P110" s="32"/>
      <c r="Q110" s="32">
        <f t="shared" si="54"/>
        <v>928802</v>
      </c>
      <c r="R110" s="32">
        <f t="shared" si="60"/>
        <v>928802</v>
      </c>
      <c r="S110" s="32">
        <f t="shared" si="61"/>
        <v>0</v>
      </c>
      <c r="T110" s="32">
        <f t="shared" si="55"/>
        <v>0</v>
      </c>
      <c r="U110" s="32">
        <f t="shared" ref="U110:AJ125" si="90">ROUND(U$2*$D110,0)</f>
        <v>0</v>
      </c>
      <c r="V110" s="32">
        <f t="shared" si="90"/>
        <v>0</v>
      </c>
      <c r="W110" s="32">
        <f t="shared" si="90"/>
        <v>0</v>
      </c>
      <c r="X110" s="32">
        <f t="shared" si="62"/>
        <v>0</v>
      </c>
      <c r="Y110" s="32"/>
      <c r="Z110" s="32">
        <f t="shared" si="90"/>
        <v>0</v>
      </c>
      <c r="AA110" s="32">
        <f t="shared" si="90"/>
        <v>0</v>
      </c>
      <c r="AB110" s="32">
        <f t="shared" si="90"/>
        <v>0</v>
      </c>
      <c r="AC110" s="32">
        <f t="shared" si="63"/>
        <v>0</v>
      </c>
      <c r="AD110" s="32"/>
      <c r="AE110" s="32">
        <f t="shared" si="90"/>
        <v>0</v>
      </c>
      <c r="AF110" s="32">
        <f t="shared" si="90"/>
        <v>0</v>
      </c>
      <c r="AG110" s="32">
        <f t="shared" si="90"/>
        <v>0</v>
      </c>
      <c r="AH110" s="32">
        <f t="shared" si="90"/>
        <v>0</v>
      </c>
      <c r="AI110" s="32">
        <f t="shared" si="90"/>
        <v>0</v>
      </c>
      <c r="AJ110" s="32">
        <f t="shared" si="89"/>
        <v>0</v>
      </c>
      <c r="AK110" s="7">
        <v>0</v>
      </c>
      <c r="AL110" s="32">
        <v>0</v>
      </c>
      <c r="AM110" s="32"/>
      <c r="AN110" s="4">
        <v>0</v>
      </c>
      <c r="AO110" s="32">
        <f t="shared" si="64"/>
        <v>0</v>
      </c>
      <c r="AP110" s="32">
        <f t="shared" si="65"/>
        <v>0</v>
      </c>
      <c r="AS110" s="32">
        <f t="shared" si="66"/>
        <v>0</v>
      </c>
      <c r="AT110" s="32">
        <f t="shared" si="56"/>
        <v>0</v>
      </c>
      <c r="AU110" s="32">
        <f t="shared" si="67"/>
        <v>0</v>
      </c>
      <c r="AV110" s="4">
        <f t="shared" si="68"/>
        <v>0</v>
      </c>
      <c r="AW110" s="32">
        <f t="shared" si="69"/>
        <v>0</v>
      </c>
      <c r="AX110" s="4">
        <f t="shared" si="70"/>
        <v>0</v>
      </c>
      <c r="AY110" s="32">
        <f t="shared" si="71"/>
        <v>0</v>
      </c>
      <c r="AZ110" s="4">
        <f t="shared" si="72"/>
        <v>0</v>
      </c>
      <c r="BA110" s="32">
        <f t="shared" si="73"/>
        <v>0</v>
      </c>
      <c r="BB110" s="32">
        <f t="shared" si="57"/>
        <v>0</v>
      </c>
      <c r="BC110" s="32">
        <f t="shared" si="74"/>
        <v>0</v>
      </c>
      <c r="BD110" s="32">
        <f t="shared" si="75"/>
        <v>0</v>
      </c>
      <c r="BF110" s="32">
        <f t="shared" si="76"/>
        <v>0</v>
      </c>
      <c r="BG110" s="32">
        <f t="shared" si="58"/>
        <v>0</v>
      </c>
      <c r="BH110" s="32">
        <f t="shared" si="77"/>
        <v>0</v>
      </c>
      <c r="BI110" s="4">
        <f t="shared" si="78"/>
        <v>0</v>
      </c>
      <c r="BJ110" s="32">
        <f t="shared" si="79"/>
        <v>0</v>
      </c>
      <c r="BK110" s="4">
        <f t="shared" si="80"/>
        <v>0</v>
      </c>
      <c r="BL110" s="32">
        <f t="shared" si="81"/>
        <v>0</v>
      </c>
      <c r="BM110" s="4">
        <f t="shared" si="82"/>
        <v>0</v>
      </c>
      <c r="BN110" s="32">
        <f t="shared" si="83"/>
        <v>0</v>
      </c>
      <c r="BO110" s="4">
        <f t="shared" si="84"/>
        <v>0</v>
      </c>
      <c r="BP110" s="32">
        <f t="shared" si="85"/>
        <v>0</v>
      </c>
      <c r="BQ110" s="32">
        <f t="shared" si="86"/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</row>
    <row r="111" spans="1:121" x14ac:dyDescent="0.35">
      <c r="A111" s="84">
        <f>'2017 Prop share of contribs'!A107</f>
        <v>102</v>
      </c>
      <c r="B111" s="84" t="str">
        <f>'2017 Prop share of contribs'!B107</f>
        <v xml:space="preserve">ROCKCASTLE COUNTY SCHOOLS  </v>
      </c>
      <c r="C111" s="25" t="s">
        <v>221</v>
      </c>
      <c r="D111" s="33">
        <f>ROUND('Employer Allocations'!G150,8)</f>
        <v>0</v>
      </c>
      <c r="E111" s="4">
        <f>ROUND('Employer Allocations'!H150,8)</f>
        <v>3.9262899999999998E-3</v>
      </c>
      <c r="F111" s="4">
        <f>ROUND('Employer Allocations'!I150,8)</f>
        <v>3.9262899999999998E-3</v>
      </c>
      <c r="G111" s="4">
        <v>0</v>
      </c>
      <c r="H111" s="4">
        <v>3.9502399999999998E-3</v>
      </c>
      <c r="I111" s="4">
        <v>3.9502399999999998E-3</v>
      </c>
      <c r="J111" s="7">
        <f t="shared" si="50"/>
        <v>0</v>
      </c>
      <c r="K111" s="7">
        <f t="shared" si="51"/>
        <v>105942079</v>
      </c>
      <c r="L111" s="7">
        <f t="shared" si="59"/>
        <v>105942079</v>
      </c>
      <c r="M111" s="7"/>
      <c r="N111" s="7">
        <f t="shared" si="52"/>
        <v>0</v>
      </c>
      <c r="O111" s="32">
        <f t="shared" si="53"/>
        <v>0</v>
      </c>
      <c r="P111" s="32"/>
      <c r="Q111" s="32">
        <f t="shared" si="54"/>
        <v>7541452</v>
      </c>
      <c r="R111" s="32">
        <f t="shared" si="60"/>
        <v>7541452</v>
      </c>
      <c r="S111" s="32">
        <f t="shared" si="61"/>
        <v>0</v>
      </c>
      <c r="T111" s="32">
        <f t="shared" si="55"/>
        <v>0</v>
      </c>
      <c r="U111" s="32">
        <f t="shared" si="90"/>
        <v>0</v>
      </c>
      <c r="V111" s="32">
        <f t="shared" si="90"/>
        <v>0</v>
      </c>
      <c r="W111" s="32">
        <f t="shared" si="90"/>
        <v>0</v>
      </c>
      <c r="X111" s="32">
        <f t="shared" si="62"/>
        <v>0</v>
      </c>
      <c r="Y111" s="32"/>
      <c r="Z111" s="32">
        <f t="shared" si="90"/>
        <v>0</v>
      </c>
      <c r="AA111" s="32">
        <f t="shared" si="90"/>
        <v>0</v>
      </c>
      <c r="AB111" s="32">
        <f t="shared" si="90"/>
        <v>0</v>
      </c>
      <c r="AC111" s="32">
        <f t="shared" si="63"/>
        <v>0</v>
      </c>
      <c r="AD111" s="32"/>
      <c r="AE111" s="32">
        <f t="shared" si="90"/>
        <v>0</v>
      </c>
      <c r="AF111" s="32">
        <f t="shared" si="90"/>
        <v>0</v>
      </c>
      <c r="AG111" s="32">
        <f t="shared" si="90"/>
        <v>0</v>
      </c>
      <c r="AH111" s="32">
        <f t="shared" si="90"/>
        <v>0</v>
      </c>
      <c r="AI111" s="32">
        <f t="shared" si="90"/>
        <v>0</v>
      </c>
      <c r="AJ111" s="32">
        <f t="shared" si="89"/>
        <v>0</v>
      </c>
      <c r="AK111" s="7">
        <v>0</v>
      </c>
      <c r="AL111" s="32">
        <v>0</v>
      </c>
      <c r="AM111" s="32"/>
      <c r="AN111" s="4">
        <v>0</v>
      </c>
      <c r="AO111" s="32">
        <f t="shared" si="64"/>
        <v>0</v>
      </c>
      <c r="AP111" s="32">
        <f t="shared" si="65"/>
        <v>0</v>
      </c>
      <c r="AS111" s="32">
        <f t="shared" si="66"/>
        <v>0</v>
      </c>
      <c r="AT111" s="32">
        <f t="shared" si="56"/>
        <v>0</v>
      </c>
      <c r="AU111" s="32">
        <f t="shared" si="67"/>
        <v>0</v>
      </c>
      <c r="AV111" s="4">
        <f t="shared" si="68"/>
        <v>0</v>
      </c>
      <c r="AW111" s="32">
        <f t="shared" si="69"/>
        <v>0</v>
      </c>
      <c r="AX111" s="4">
        <f t="shared" si="70"/>
        <v>0</v>
      </c>
      <c r="AY111" s="32">
        <f t="shared" si="71"/>
        <v>0</v>
      </c>
      <c r="AZ111" s="4">
        <f t="shared" si="72"/>
        <v>0</v>
      </c>
      <c r="BA111" s="32">
        <f t="shared" si="73"/>
        <v>0</v>
      </c>
      <c r="BB111" s="32">
        <f t="shared" si="57"/>
        <v>0</v>
      </c>
      <c r="BC111" s="32">
        <f t="shared" si="74"/>
        <v>0</v>
      </c>
      <c r="BD111" s="32">
        <f t="shared" si="75"/>
        <v>0</v>
      </c>
      <c r="BF111" s="32">
        <f t="shared" si="76"/>
        <v>0</v>
      </c>
      <c r="BG111" s="32">
        <f t="shared" si="58"/>
        <v>0</v>
      </c>
      <c r="BH111" s="32">
        <f t="shared" si="77"/>
        <v>0</v>
      </c>
      <c r="BI111" s="4">
        <f t="shared" si="78"/>
        <v>0</v>
      </c>
      <c r="BJ111" s="32">
        <f t="shared" si="79"/>
        <v>0</v>
      </c>
      <c r="BK111" s="4">
        <f t="shared" si="80"/>
        <v>0</v>
      </c>
      <c r="BL111" s="32">
        <f t="shared" si="81"/>
        <v>0</v>
      </c>
      <c r="BM111" s="4">
        <f t="shared" si="82"/>
        <v>0</v>
      </c>
      <c r="BN111" s="32">
        <f t="shared" si="83"/>
        <v>0</v>
      </c>
      <c r="BO111" s="4">
        <f t="shared" si="84"/>
        <v>0</v>
      </c>
      <c r="BP111" s="32">
        <f t="shared" si="85"/>
        <v>0</v>
      </c>
      <c r="BQ111" s="32">
        <f t="shared" si="86"/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0</v>
      </c>
      <c r="DO111" s="4">
        <v>0</v>
      </c>
      <c r="DP111" s="4">
        <v>0</v>
      </c>
      <c r="DQ111" s="4">
        <v>0</v>
      </c>
    </row>
    <row r="112" spans="1:121" x14ac:dyDescent="0.35">
      <c r="A112" s="84">
        <f>'2017 Prop share of contribs'!A108</f>
        <v>103</v>
      </c>
      <c r="B112" s="84" t="str">
        <f>'2017 Prop share of contribs'!B108</f>
        <v xml:space="preserve">ROWAN COUNTY SCHOOLS  </v>
      </c>
      <c r="C112" s="25" t="s">
        <v>222</v>
      </c>
      <c r="D112" s="33">
        <f>ROUND('Employer Allocations'!G151,8)</f>
        <v>0</v>
      </c>
      <c r="E112" s="4">
        <f>ROUND('Employer Allocations'!H151,8)</f>
        <v>3.8853099999999999E-3</v>
      </c>
      <c r="F112" s="4">
        <f>ROUND('Employer Allocations'!I151,8)</f>
        <v>3.8853099999999999E-3</v>
      </c>
      <c r="G112" s="4">
        <v>0</v>
      </c>
      <c r="H112" s="4">
        <v>3.8558400000000001E-3</v>
      </c>
      <c r="I112" s="4">
        <v>3.8558400000000001E-3</v>
      </c>
      <c r="J112" s="7">
        <f t="shared" si="50"/>
        <v>0</v>
      </c>
      <c r="K112" s="7">
        <f t="shared" si="51"/>
        <v>104836326</v>
      </c>
      <c r="L112" s="7">
        <f t="shared" si="59"/>
        <v>104836326</v>
      </c>
      <c r="M112" s="7"/>
      <c r="N112" s="7">
        <f t="shared" si="52"/>
        <v>0</v>
      </c>
      <c r="O112" s="32">
        <f t="shared" si="53"/>
        <v>0</v>
      </c>
      <c r="P112" s="32"/>
      <c r="Q112" s="32">
        <f t="shared" si="54"/>
        <v>7462739</v>
      </c>
      <c r="R112" s="32">
        <f t="shared" si="60"/>
        <v>7462739</v>
      </c>
      <c r="S112" s="32">
        <f t="shared" si="61"/>
        <v>0</v>
      </c>
      <c r="T112" s="32">
        <f t="shared" si="55"/>
        <v>0</v>
      </c>
      <c r="U112" s="32">
        <f t="shared" si="90"/>
        <v>0</v>
      </c>
      <c r="V112" s="32">
        <f t="shared" si="90"/>
        <v>0</v>
      </c>
      <c r="W112" s="32">
        <f t="shared" si="90"/>
        <v>0</v>
      </c>
      <c r="X112" s="32">
        <f t="shared" si="62"/>
        <v>0</v>
      </c>
      <c r="Y112" s="32"/>
      <c r="Z112" s="32">
        <f t="shared" si="90"/>
        <v>0</v>
      </c>
      <c r="AA112" s="32">
        <f t="shared" si="90"/>
        <v>0</v>
      </c>
      <c r="AB112" s="32">
        <f t="shared" si="90"/>
        <v>0</v>
      </c>
      <c r="AC112" s="32">
        <f t="shared" si="63"/>
        <v>0</v>
      </c>
      <c r="AD112" s="32"/>
      <c r="AE112" s="32">
        <f t="shared" si="90"/>
        <v>0</v>
      </c>
      <c r="AF112" s="32">
        <f t="shared" si="90"/>
        <v>0</v>
      </c>
      <c r="AG112" s="32">
        <f t="shared" si="90"/>
        <v>0</v>
      </c>
      <c r="AH112" s="32">
        <f t="shared" si="90"/>
        <v>0</v>
      </c>
      <c r="AI112" s="32">
        <f t="shared" si="90"/>
        <v>0</v>
      </c>
      <c r="AJ112" s="32">
        <f t="shared" si="89"/>
        <v>0</v>
      </c>
      <c r="AK112" s="7">
        <v>0</v>
      </c>
      <c r="AL112" s="32">
        <v>0</v>
      </c>
      <c r="AM112" s="32"/>
      <c r="AN112" s="4">
        <v>0</v>
      </c>
      <c r="AO112" s="32">
        <f t="shared" si="64"/>
        <v>0</v>
      </c>
      <c r="AP112" s="32">
        <f t="shared" si="65"/>
        <v>0</v>
      </c>
      <c r="AS112" s="32">
        <f t="shared" si="66"/>
        <v>0</v>
      </c>
      <c r="AT112" s="32">
        <f t="shared" si="56"/>
        <v>0</v>
      </c>
      <c r="AU112" s="32">
        <f t="shared" si="67"/>
        <v>0</v>
      </c>
      <c r="AV112" s="4">
        <f t="shared" si="68"/>
        <v>0</v>
      </c>
      <c r="AW112" s="32">
        <f t="shared" si="69"/>
        <v>0</v>
      </c>
      <c r="AX112" s="4">
        <f t="shared" si="70"/>
        <v>0</v>
      </c>
      <c r="AY112" s="32">
        <f t="shared" si="71"/>
        <v>0</v>
      </c>
      <c r="AZ112" s="4">
        <f t="shared" si="72"/>
        <v>0</v>
      </c>
      <c r="BA112" s="32">
        <f t="shared" si="73"/>
        <v>0</v>
      </c>
      <c r="BB112" s="32">
        <f t="shared" si="57"/>
        <v>0</v>
      </c>
      <c r="BC112" s="32">
        <f t="shared" si="74"/>
        <v>0</v>
      </c>
      <c r="BD112" s="32">
        <f t="shared" si="75"/>
        <v>0</v>
      </c>
      <c r="BF112" s="32">
        <f t="shared" si="76"/>
        <v>0</v>
      </c>
      <c r="BG112" s="32">
        <f t="shared" si="58"/>
        <v>0</v>
      </c>
      <c r="BH112" s="32">
        <f t="shared" si="77"/>
        <v>0</v>
      </c>
      <c r="BI112" s="4">
        <f t="shared" si="78"/>
        <v>0</v>
      </c>
      <c r="BJ112" s="32">
        <f t="shared" si="79"/>
        <v>0</v>
      </c>
      <c r="BK112" s="4">
        <f t="shared" si="80"/>
        <v>0</v>
      </c>
      <c r="BL112" s="32">
        <f t="shared" si="81"/>
        <v>0</v>
      </c>
      <c r="BM112" s="4">
        <f t="shared" si="82"/>
        <v>0</v>
      </c>
      <c r="BN112" s="32">
        <f t="shared" si="83"/>
        <v>0</v>
      </c>
      <c r="BO112" s="4">
        <f t="shared" si="84"/>
        <v>0</v>
      </c>
      <c r="BP112" s="32">
        <f t="shared" si="85"/>
        <v>0</v>
      </c>
      <c r="BQ112" s="32">
        <f t="shared" si="86"/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0</v>
      </c>
      <c r="DO112" s="4">
        <v>0</v>
      </c>
      <c r="DP112" s="4">
        <v>0</v>
      </c>
      <c r="DQ112" s="4">
        <v>0</v>
      </c>
    </row>
    <row r="113" spans="1:121" x14ac:dyDescent="0.35">
      <c r="A113" s="84">
        <f>'2017 Prop share of contribs'!A109</f>
        <v>104</v>
      </c>
      <c r="B113" s="84" t="str">
        <f>'2017 Prop share of contribs'!B109</f>
        <v xml:space="preserve">RUSSELL COUNTY SCHOOLS  </v>
      </c>
      <c r="C113" s="25" t="s">
        <v>223</v>
      </c>
      <c r="D113" s="33">
        <f>ROUND('Employer Allocations'!G152,8)</f>
        <v>0</v>
      </c>
      <c r="E113" s="4">
        <f>ROUND('Employer Allocations'!H152,8)</f>
        <v>4.02425E-3</v>
      </c>
      <c r="F113" s="4">
        <f>ROUND('Employer Allocations'!I152,8)</f>
        <v>4.02425E-3</v>
      </c>
      <c r="G113" s="4">
        <v>0</v>
      </c>
      <c r="H113" s="4">
        <v>3.93093E-3</v>
      </c>
      <c r="I113" s="4">
        <v>3.93093E-3</v>
      </c>
      <c r="J113" s="7">
        <f t="shared" si="50"/>
        <v>0</v>
      </c>
      <c r="K113" s="7">
        <f t="shared" si="51"/>
        <v>108585308</v>
      </c>
      <c r="L113" s="7">
        <f t="shared" si="59"/>
        <v>108585308</v>
      </c>
      <c r="M113" s="7"/>
      <c r="N113" s="7">
        <f t="shared" si="52"/>
        <v>0</v>
      </c>
      <c r="O113" s="32">
        <f t="shared" si="53"/>
        <v>0</v>
      </c>
      <c r="P113" s="32"/>
      <c r="Q113" s="32">
        <f t="shared" si="54"/>
        <v>7729609</v>
      </c>
      <c r="R113" s="32">
        <f t="shared" si="60"/>
        <v>7729609</v>
      </c>
      <c r="S113" s="32">
        <f t="shared" si="61"/>
        <v>0</v>
      </c>
      <c r="T113" s="32">
        <f t="shared" si="55"/>
        <v>0</v>
      </c>
      <c r="U113" s="32">
        <f t="shared" si="90"/>
        <v>0</v>
      </c>
      <c r="V113" s="32">
        <f t="shared" si="90"/>
        <v>0</v>
      </c>
      <c r="W113" s="32">
        <f t="shared" si="90"/>
        <v>0</v>
      </c>
      <c r="X113" s="32">
        <f t="shared" si="62"/>
        <v>0</v>
      </c>
      <c r="Y113" s="32"/>
      <c r="Z113" s="32">
        <f t="shared" si="90"/>
        <v>0</v>
      </c>
      <c r="AA113" s="32">
        <f t="shared" si="90"/>
        <v>0</v>
      </c>
      <c r="AB113" s="32">
        <f t="shared" si="90"/>
        <v>0</v>
      </c>
      <c r="AC113" s="32">
        <f t="shared" si="63"/>
        <v>0</v>
      </c>
      <c r="AD113" s="32"/>
      <c r="AE113" s="32">
        <f t="shared" si="90"/>
        <v>0</v>
      </c>
      <c r="AF113" s="32">
        <f t="shared" si="90"/>
        <v>0</v>
      </c>
      <c r="AG113" s="32">
        <f t="shared" si="90"/>
        <v>0</v>
      </c>
      <c r="AH113" s="32">
        <f t="shared" si="90"/>
        <v>0</v>
      </c>
      <c r="AI113" s="32">
        <f t="shared" si="90"/>
        <v>0</v>
      </c>
      <c r="AJ113" s="32">
        <f t="shared" si="89"/>
        <v>0</v>
      </c>
      <c r="AK113" s="7">
        <v>0</v>
      </c>
      <c r="AL113" s="32">
        <v>0</v>
      </c>
      <c r="AM113" s="32"/>
      <c r="AN113" s="4">
        <v>0</v>
      </c>
      <c r="AO113" s="32">
        <f t="shared" si="64"/>
        <v>0</v>
      </c>
      <c r="AP113" s="32">
        <f t="shared" si="65"/>
        <v>0</v>
      </c>
      <c r="AS113" s="32">
        <f t="shared" si="66"/>
        <v>0</v>
      </c>
      <c r="AT113" s="32">
        <f t="shared" si="56"/>
        <v>0</v>
      </c>
      <c r="AU113" s="32">
        <f t="shared" si="67"/>
        <v>0</v>
      </c>
      <c r="AV113" s="4">
        <f t="shared" si="68"/>
        <v>0</v>
      </c>
      <c r="AW113" s="32">
        <f t="shared" si="69"/>
        <v>0</v>
      </c>
      <c r="AX113" s="4">
        <f t="shared" si="70"/>
        <v>0</v>
      </c>
      <c r="AY113" s="32">
        <f t="shared" si="71"/>
        <v>0</v>
      </c>
      <c r="AZ113" s="4">
        <f t="shared" si="72"/>
        <v>0</v>
      </c>
      <c r="BA113" s="32">
        <f t="shared" si="73"/>
        <v>0</v>
      </c>
      <c r="BB113" s="32">
        <f t="shared" si="57"/>
        <v>0</v>
      </c>
      <c r="BC113" s="32">
        <f t="shared" si="74"/>
        <v>0</v>
      </c>
      <c r="BD113" s="32">
        <f t="shared" si="75"/>
        <v>0</v>
      </c>
      <c r="BF113" s="32">
        <f t="shared" si="76"/>
        <v>0</v>
      </c>
      <c r="BG113" s="32">
        <f t="shared" si="58"/>
        <v>0</v>
      </c>
      <c r="BH113" s="32">
        <f t="shared" si="77"/>
        <v>0</v>
      </c>
      <c r="BI113" s="4">
        <f t="shared" si="78"/>
        <v>0</v>
      </c>
      <c r="BJ113" s="32">
        <f t="shared" si="79"/>
        <v>0</v>
      </c>
      <c r="BK113" s="4">
        <f t="shared" si="80"/>
        <v>0</v>
      </c>
      <c r="BL113" s="32">
        <f t="shared" si="81"/>
        <v>0</v>
      </c>
      <c r="BM113" s="4">
        <f t="shared" si="82"/>
        <v>0</v>
      </c>
      <c r="BN113" s="32">
        <f t="shared" si="83"/>
        <v>0</v>
      </c>
      <c r="BO113" s="4">
        <f t="shared" si="84"/>
        <v>0</v>
      </c>
      <c r="BP113" s="32">
        <f t="shared" si="85"/>
        <v>0</v>
      </c>
      <c r="BQ113" s="32">
        <f t="shared" si="86"/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0</v>
      </c>
      <c r="DN113" s="4">
        <v>0</v>
      </c>
      <c r="DO113" s="4">
        <v>0</v>
      </c>
      <c r="DP113" s="4">
        <v>0</v>
      </c>
      <c r="DQ113" s="4">
        <v>0</v>
      </c>
    </row>
    <row r="114" spans="1:121" x14ac:dyDescent="0.35">
      <c r="A114" s="84">
        <f>'2017 Prop share of contribs'!A110</f>
        <v>105</v>
      </c>
      <c r="B114" s="84" t="str">
        <f>'2017 Prop share of contribs'!B110</f>
        <v xml:space="preserve">SCOTT COUNTY SCHOOLS  </v>
      </c>
      <c r="C114" s="25" t="s">
        <v>224</v>
      </c>
      <c r="D114" s="33">
        <f>ROUND('Employer Allocations'!G153,8)</f>
        <v>0</v>
      </c>
      <c r="E114" s="4">
        <f>ROUND('Employer Allocations'!H153,8)</f>
        <v>1.161922E-2</v>
      </c>
      <c r="F114" s="4">
        <f>ROUND('Employer Allocations'!I153,8)</f>
        <v>1.161922E-2</v>
      </c>
      <c r="G114" s="4">
        <v>0</v>
      </c>
      <c r="H114" s="4">
        <v>1.150289E-2</v>
      </c>
      <c r="I114" s="4">
        <v>1.150289E-2</v>
      </c>
      <c r="J114" s="7">
        <f t="shared" si="50"/>
        <v>0</v>
      </c>
      <c r="K114" s="7">
        <f t="shared" si="51"/>
        <v>313518441</v>
      </c>
      <c r="L114" s="7">
        <f t="shared" si="59"/>
        <v>313518441</v>
      </c>
      <c r="M114" s="7"/>
      <c r="N114" s="7">
        <f t="shared" si="52"/>
        <v>0</v>
      </c>
      <c r="O114" s="32">
        <f t="shared" si="53"/>
        <v>0</v>
      </c>
      <c r="P114" s="32"/>
      <c r="Q114" s="32">
        <f t="shared" si="54"/>
        <v>22317706</v>
      </c>
      <c r="R114" s="32">
        <f t="shared" si="60"/>
        <v>22317706</v>
      </c>
      <c r="S114" s="32">
        <f t="shared" si="61"/>
        <v>0</v>
      </c>
      <c r="T114" s="32">
        <f t="shared" si="55"/>
        <v>0</v>
      </c>
      <c r="U114" s="32">
        <f t="shared" si="90"/>
        <v>0</v>
      </c>
      <c r="V114" s="32">
        <f t="shared" si="90"/>
        <v>0</v>
      </c>
      <c r="W114" s="32">
        <f t="shared" si="90"/>
        <v>0</v>
      </c>
      <c r="X114" s="32">
        <f t="shared" si="62"/>
        <v>0</v>
      </c>
      <c r="Y114" s="32"/>
      <c r="Z114" s="32">
        <f t="shared" si="90"/>
        <v>0</v>
      </c>
      <c r="AA114" s="32">
        <f t="shared" si="90"/>
        <v>0</v>
      </c>
      <c r="AB114" s="32">
        <f t="shared" si="90"/>
        <v>0</v>
      </c>
      <c r="AC114" s="32">
        <f t="shared" si="63"/>
        <v>0</v>
      </c>
      <c r="AD114" s="32"/>
      <c r="AE114" s="32">
        <f t="shared" si="90"/>
        <v>0</v>
      </c>
      <c r="AF114" s="32">
        <f t="shared" si="90"/>
        <v>0</v>
      </c>
      <c r="AG114" s="32">
        <f t="shared" si="90"/>
        <v>0</v>
      </c>
      <c r="AH114" s="32">
        <f t="shared" si="90"/>
        <v>0</v>
      </c>
      <c r="AI114" s="32">
        <f t="shared" si="90"/>
        <v>0</v>
      </c>
      <c r="AJ114" s="32">
        <f t="shared" si="89"/>
        <v>0</v>
      </c>
      <c r="AK114" s="7">
        <v>0</v>
      </c>
      <c r="AL114" s="32">
        <v>0</v>
      </c>
      <c r="AM114" s="32"/>
      <c r="AN114" s="4">
        <v>0</v>
      </c>
      <c r="AO114" s="32">
        <f t="shared" si="64"/>
        <v>0</v>
      </c>
      <c r="AP114" s="32">
        <f t="shared" si="65"/>
        <v>0</v>
      </c>
      <c r="AS114" s="32">
        <f t="shared" si="66"/>
        <v>0</v>
      </c>
      <c r="AT114" s="32">
        <f t="shared" si="56"/>
        <v>0</v>
      </c>
      <c r="AU114" s="32">
        <f t="shared" si="67"/>
        <v>0</v>
      </c>
      <c r="AV114" s="4">
        <f t="shared" si="68"/>
        <v>0</v>
      </c>
      <c r="AW114" s="32">
        <f t="shared" si="69"/>
        <v>0</v>
      </c>
      <c r="AX114" s="4">
        <f t="shared" si="70"/>
        <v>0</v>
      </c>
      <c r="AY114" s="32">
        <f t="shared" si="71"/>
        <v>0</v>
      </c>
      <c r="AZ114" s="4">
        <f t="shared" si="72"/>
        <v>0</v>
      </c>
      <c r="BA114" s="32">
        <f t="shared" si="73"/>
        <v>0</v>
      </c>
      <c r="BB114" s="32">
        <f t="shared" si="57"/>
        <v>0</v>
      </c>
      <c r="BC114" s="32">
        <f t="shared" si="74"/>
        <v>0</v>
      </c>
      <c r="BD114" s="32">
        <f t="shared" si="75"/>
        <v>0</v>
      </c>
      <c r="BF114" s="32">
        <f t="shared" si="76"/>
        <v>0</v>
      </c>
      <c r="BG114" s="32">
        <f t="shared" si="58"/>
        <v>0</v>
      </c>
      <c r="BH114" s="32">
        <f t="shared" si="77"/>
        <v>0</v>
      </c>
      <c r="BI114" s="4">
        <f t="shared" si="78"/>
        <v>0</v>
      </c>
      <c r="BJ114" s="32">
        <f t="shared" si="79"/>
        <v>0</v>
      </c>
      <c r="BK114" s="4">
        <f t="shared" si="80"/>
        <v>0</v>
      </c>
      <c r="BL114" s="32">
        <f t="shared" si="81"/>
        <v>0</v>
      </c>
      <c r="BM114" s="4">
        <f t="shared" si="82"/>
        <v>0</v>
      </c>
      <c r="BN114" s="32">
        <f t="shared" si="83"/>
        <v>0</v>
      </c>
      <c r="BO114" s="4">
        <f t="shared" si="84"/>
        <v>0</v>
      </c>
      <c r="BP114" s="32">
        <f t="shared" si="85"/>
        <v>0</v>
      </c>
      <c r="BQ114" s="32">
        <f t="shared" si="86"/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0</v>
      </c>
      <c r="DN114" s="4">
        <v>0</v>
      </c>
      <c r="DO114" s="4">
        <v>0</v>
      </c>
      <c r="DP114" s="4">
        <v>0</v>
      </c>
      <c r="DQ114" s="4">
        <v>0</v>
      </c>
    </row>
    <row r="115" spans="1:121" x14ac:dyDescent="0.35">
      <c r="A115" s="84">
        <f>'2017 Prop share of contribs'!A111</f>
        <v>106</v>
      </c>
      <c r="B115" s="84" t="str">
        <f>'2017 Prop share of contribs'!B111</f>
        <v xml:space="preserve">SHELBY COUNTY SCHOOLS  </v>
      </c>
      <c r="C115" s="25" t="s">
        <v>225</v>
      </c>
      <c r="D115" s="33">
        <f>ROUND('Employer Allocations'!G154,8)</f>
        <v>0</v>
      </c>
      <c r="E115" s="4">
        <f>ROUND('Employer Allocations'!H154,8)</f>
        <v>1.039848E-2</v>
      </c>
      <c r="F115" s="4">
        <f>ROUND('Employer Allocations'!I154,8)</f>
        <v>1.039848E-2</v>
      </c>
      <c r="G115" s="4">
        <v>0</v>
      </c>
      <c r="H115" s="4">
        <v>1.062594E-2</v>
      </c>
      <c r="I115" s="4">
        <v>1.062594E-2</v>
      </c>
      <c r="J115" s="7">
        <f t="shared" si="50"/>
        <v>0</v>
      </c>
      <c r="K115" s="7">
        <f t="shared" si="51"/>
        <v>280579526</v>
      </c>
      <c r="L115" s="7">
        <f t="shared" si="59"/>
        <v>280579526</v>
      </c>
      <c r="M115" s="7"/>
      <c r="N115" s="7">
        <f t="shared" si="52"/>
        <v>0</v>
      </c>
      <c r="O115" s="32">
        <f t="shared" si="53"/>
        <v>0</v>
      </c>
      <c r="P115" s="32"/>
      <c r="Q115" s="32">
        <f t="shared" si="54"/>
        <v>19972960</v>
      </c>
      <c r="R115" s="32">
        <f t="shared" si="60"/>
        <v>19972960</v>
      </c>
      <c r="S115" s="32">
        <f t="shared" si="61"/>
        <v>0</v>
      </c>
      <c r="T115" s="32">
        <f t="shared" si="55"/>
        <v>0</v>
      </c>
      <c r="U115" s="32">
        <f t="shared" si="90"/>
        <v>0</v>
      </c>
      <c r="V115" s="32">
        <f t="shared" si="90"/>
        <v>0</v>
      </c>
      <c r="W115" s="32">
        <f t="shared" si="90"/>
        <v>0</v>
      </c>
      <c r="X115" s="32">
        <f t="shared" si="62"/>
        <v>0</v>
      </c>
      <c r="Y115" s="32"/>
      <c r="Z115" s="32">
        <f t="shared" si="90"/>
        <v>0</v>
      </c>
      <c r="AA115" s="32">
        <f t="shared" si="90"/>
        <v>0</v>
      </c>
      <c r="AB115" s="32">
        <f t="shared" si="90"/>
        <v>0</v>
      </c>
      <c r="AC115" s="32">
        <f t="shared" si="63"/>
        <v>0</v>
      </c>
      <c r="AD115" s="32"/>
      <c r="AE115" s="32">
        <f t="shared" si="90"/>
        <v>0</v>
      </c>
      <c r="AF115" s="32">
        <f t="shared" si="90"/>
        <v>0</v>
      </c>
      <c r="AG115" s="32">
        <f t="shared" si="90"/>
        <v>0</v>
      </c>
      <c r="AH115" s="32">
        <f t="shared" si="90"/>
        <v>0</v>
      </c>
      <c r="AI115" s="32">
        <f t="shared" si="90"/>
        <v>0</v>
      </c>
      <c r="AJ115" s="32">
        <f t="shared" si="89"/>
        <v>0</v>
      </c>
      <c r="AK115" s="7">
        <v>0</v>
      </c>
      <c r="AL115" s="32">
        <v>0</v>
      </c>
      <c r="AM115" s="32"/>
      <c r="AN115" s="4">
        <v>0</v>
      </c>
      <c r="AO115" s="32">
        <f t="shared" si="64"/>
        <v>0</v>
      </c>
      <c r="AP115" s="32">
        <f t="shared" si="65"/>
        <v>0</v>
      </c>
      <c r="AS115" s="32">
        <f t="shared" si="66"/>
        <v>0</v>
      </c>
      <c r="AT115" s="32">
        <f t="shared" si="56"/>
        <v>0</v>
      </c>
      <c r="AU115" s="32">
        <f t="shared" si="67"/>
        <v>0</v>
      </c>
      <c r="AV115" s="4">
        <f t="shared" si="68"/>
        <v>0</v>
      </c>
      <c r="AW115" s="32">
        <f t="shared" si="69"/>
        <v>0</v>
      </c>
      <c r="AX115" s="4">
        <f t="shared" si="70"/>
        <v>0</v>
      </c>
      <c r="AY115" s="32">
        <f t="shared" si="71"/>
        <v>0</v>
      </c>
      <c r="AZ115" s="4">
        <f t="shared" si="72"/>
        <v>0</v>
      </c>
      <c r="BA115" s="32">
        <f t="shared" si="73"/>
        <v>0</v>
      </c>
      <c r="BB115" s="32">
        <f t="shared" si="57"/>
        <v>0</v>
      </c>
      <c r="BC115" s="32">
        <f t="shared" si="74"/>
        <v>0</v>
      </c>
      <c r="BD115" s="32">
        <f t="shared" si="75"/>
        <v>0</v>
      </c>
      <c r="BF115" s="32">
        <f t="shared" si="76"/>
        <v>0</v>
      </c>
      <c r="BG115" s="32">
        <f t="shared" si="58"/>
        <v>0</v>
      </c>
      <c r="BH115" s="32">
        <f t="shared" si="77"/>
        <v>0</v>
      </c>
      <c r="BI115" s="4">
        <f t="shared" si="78"/>
        <v>0</v>
      </c>
      <c r="BJ115" s="32">
        <f t="shared" si="79"/>
        <v>0</v>
      </c>
      <c r="BK115" s="4">
        <f t="shared" si="80"/>
        <v>0</v>
      </c>
      <c r="BL115" s="32">
        <f t="shared" si="81"/>
        <v>0</v>
      </c>
      <c r="BM115" s="4">
        <f t="shared" si="82"/>
        <v>0</v>
      </c>
      <c r="BN115" s="32">
        <f t="shared" si="83"/>
        <v>0</v>
      </c>
      <c r="BO115" s="4">
        <f t="shared" si="84"/>
        <v>0</v>
      </c>
      <c r="BP115" s="32">
        <f t="shared" si="85"/>
        <v>0</v>
      </c>
      <c r="BQ115" s="32">
        <f t="shared" si="86"/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F115" s="4">
        <v>0</v>
      </c>
      <c r="DG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4">
        <v>0</v>
      </c>
      <c r="DN115" s="4">
        <v>0</v>
      </c>
      <c r="DO115" s="4">
        <v>0</v>
      </c>
      <c r="DP115" s="4">
        <v>0</v>
      </c>
      <c r="DQ115" s="4">
        <v>0</v>
      </c>
    </row>
    <row r="116" spans="1:121" x14ac:dyDescent="0.35">
      <c r="A116" s="84">
        <f>'2017 Prop share of contribs'!A112</f>
        <v>107</v>
      </c>
      <c r="B116" s="84" t="str">
        <f>'2017 Prop share of contribs'!B112</f>
        <v xml:space="preserve">SIMPSON COUNTY SCHOOLS  </v>
      </c>
      <c r="C116" s="25" t="s">
        <v>226</v>
      </c>
      <c r="D116" s="33">
        <f>ROUND('Employer Allocations'!G155,8)</f>
        <v>0</v>
      </c>
      <c r="E116" s="4">
        <f>ROUND('Employer Allocations'!H155,8)</f>
        <v>4.0279000000000001E-3</v>
      </c>
      <c r="F116" s="4">
        <f>ROUND('Employer Allocations'!I155,8)</f>
        <v>4.0279000000000001E-3</v>
      </c>
      <c r="G116" s="4">
        <v>0</v>
      </c>
      <c r="H116" s="4">
        <v>4.0317E-3</v>
      </c>
      <c r="I116" s="4">
        <v>4.0317E-3</v>
      </c>
      <c r="J116" s="7">
        <f t="shared" si="50"/>
        <v>0</v>
      </c>
      <c r="K116" s="7">
        <f t="shared" si="51"/>
        <v>108683795</v>
      </c>
      <c r="L116" s="7">
        <f t="shared" si="59"/>
        <v>108683795</v>
      </c>
      <c r="M116" s="7"/>
      <c r="N116" s="7">
        <f t="shared" si="52"/>
        <v>0</v>
      </c>
      <c r="O116" s="32">
        <f t="shared" si="53"/>
        <v>0</v>
      </c>
      <c r="P116" s="32"/>
      <c r="Q116" s="32">
        <f t="shared" si="54"/>
        <v>7736620</v>
      </c>
      <c r="R116" s="32">
        <f t="shared" si="60"/>
        <v>7736620</v>
      </c>
      <c r="S116" s="32">
        <f t="shared" si="61"/>
        <v>0</v>
      </c>
      <c r="T116" s="32">
        <f t="shared" si="55"/>
        <v>0</v>
      </c>
      <c r="U116" s="32">
        <f t="shared" si="90"/>
        <v>0</v>
      </c>
      <c r="V116" s="32">
        <f t="shared" si="90"/>
        <v>0</v>
      </c>
      <c r="W116" s="32">
        <f t="shared" si="90"/>
        <v>0</v>
      </c>
      <c r="X116" s="32">
        <f t="shared" si="62"/>
        <v>0</v>
      </c>
      <c r="Y116" s="32"/>
      <c r="Z116" s="32">
        <f t="shared" si="90"/>
        <v>0</v>
      </c>
      <c r="AA116" s="32">
        <f t="shared" si="90"/>
        <v>0</v>
      </c>
      <c r="AB116" s="32">
        <f t="shared" si="90"/>
        <v>0</v>
      </c>
      <c r="AC116" s="32">
        <f t="shared" si="63"/>
        <v>0</v>
      </c>
      <c r="AD116" s="32"/>
      <c r="AE116" s="32">
        <f t="shared" si="90"/>
        <v>0</v>
      </c>
      <c r="AF116" s="32">
        <f t="shared" si="90"/>
        <v>0</v>
      </c>
      <c r="AG116" s="32">
        <f t="shared" si="90"/>
        <v>0</v>
      </c>
      <c r="AH116" s="32">
        <f t="shared" si="90"/>
        <v>0</v>
      </c>
      <c r="AI116" s="32">
        <f t="shared" si="90"/>
        <v>0</v>
      </c>
      <c r="AJ116" s="32">
        <f t="shared" si="90"/>
        <v>0</v>
      </c>
      <c r="AK116" s="7">
        <v>0</v>
      </c>
      <c r="AL116" s="32">
        <v>0</v>
      </c>
      <c r="AM116" s="32"/>
      <c r="AN116" s="4">
        <v>0</v>
      </c>
      <c r="AO116" s="32">
        <f t="shared" si="64"/>
        <v>0</v>
      </c>
      <c r="AP116" s="32">
        <f t="shared" si="65"/>
        <v>0</v>
      </c>
      <c r="AS116" s="32">
        <f t="shared" si="66"/>
        <v>0</v>
      </c>
      <c r="AT116" s="32">
        <f t="shared" si="56"/>
        <v>0</v>
      </c>
      <c r="AU116" s="32">
        <f t="shared" si="67"/>
        <v>0</v>
      </c>
      <c r="AV116" s="4">
        <f t="shared" si="68"/>
        <v>0</v>
      </c>
      <c r="AW116" s="32">
        <f t="shared" si="69"/>
        <v>0</v>
      </c>
      <c r="AX116" s="4">
        <f t="shared" si="70"/>
        <v>0</v>
      </c>
      <c r="AY116" s="32">
        <f t="shared" si="71"/>
        <v>0</v>
      </c>
      <c r="AZ116" s="4">
        <f t="shared" si="72"/>
        <v>0</v>
      </c>
      <c r="BA116" s="32">
        <f t="shared" si="73"/>
        <v>0</v>
      </c>
      <c r="BB116" s="32">
        <f t="shared" si="57"/>
        <v>0</v>
      </c>
      <c r="BC116" s="32">
        <f t="shared" si="74"/>
        <v>0</v>
      </c>
      <c r="BD116" s="32">
        <f t="shared" si="75"/>
        <v>0</v>
      </c>
      <c r="BF116" s="32">
        <f t="shared" si="76"/>
        <v>0</v>
      </c>
      <c r="BG116" s="32">
        <f t="shared" si="58"/>
        <v>0</v>
      </c>
      <c r="BH116" s="32">
        <f t="shared" si="77"/>
        <v>0</v>
      </c>
      <c r="BI116" s="4">
        <f t="shared" si="78"/>
        <v>0</v>
      </c>
      <c r="BJ116" s="32">
        <f t="shared" si="79"/>
        <v>0</v>
      </c>
      <c r="BK116" s="4">
        <f t="shared" si="80"/>
        <v>0</v>
      </c>
      <c r="BL116" s="32">
        <f t="shared" si="81"/>
        <v>0</v>
      </c>
      <c r="BM116" s="4">
        <f t="shared" si="82"/>
        <v>0</v>
      </c>
      <c r="BN116" s="32">
        <f t="shared" si="83"/>
        <v>0</v>
      </c>
      <c r="BO116" s="4">
        <f t="shared" si="84"/>
        <v>0</v>
      </c>
      <c r="BP116" s="32">
        <f t="shared" si="85"/>
        <v>0</v>
      </c>
      <c r="BQ116" s="32">
        <f t="shared" si="86"/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  <c r="DO116" s="4">
        <v>0</v>
      </c>
      <c r="DP116" s="4">
        <v>0</v>
      </c>
      <c r="DQ116" s="4">
        <v>0</v>
      </c>
    </row>
    <row r="117" spans="1:121" x14ac:dyDescent="0.35">
      <c r="A117" s="84">
        <f>'2017 Prop share of contribs'!A113</f>
        <v>108</v>
      </c>
      <c r="B117" s="84" t="str">
        <f>'2017 Prop share of contribs'!B113</f>
        <v xml:space="preserve">SPENCER COUNTY SCHOOLS  </v>
      </c>
      <c r="C117" s="25" t="s">
        <v>227</v>
      </c>
      <c r="D117" s="33">
        <f>ROUND('Employer Allocations'!G156,8)</f>
        <v>0</v>
      </c>
      <c r="E117" s="4">
        <f>ROUND('Employer Allocations'!H156,8)</f>
        <v>3.7407400000000002E-3</v>
      </c>
      <c r="F117" s="4">
        <f>ROUND('Employer Allocations'!I156,8)</f>
        <v>3.7407400000000002E-3</v>
      </c>
      <c r="G117" s="4">
        <v>0</v>
      </c>
      <c r="H117" s="4">
        <v>3.6863099999999999E-3</v>
      </c>
      <c r="I117" s="4">
        <v>3.6863099999999999E-3</v>
      </c>
      <c r="J117" s="7">
        <f t="shared" si="50"/>
        <v>0</v>
      </c>
      <c r="K117" s="7">
        <f t="shared" si="51"/>
        <v>100935430</v>
      </c>
      <c r="L117" s="7">
        <f t="shared" si="59"/>
        <v>100935430</v>
      </c>
      <c r="M117" s="7"/>
      <c r="N117" s="7">
        <f t="shared" si="52"/>
        <v>0</v>
      </c>
      <c r="O117" s="32">
        <f t="shared" si="53"/>
        <v>0</v>
      </c>
      <c r="P117" s="32"/>
      <c r="Q117" s="32">
        <f t="shared" si="54"/>
        <v>7185055</v>
      </c>
      <c r="R117" s="32">
        <f t="shared" si="60"/>
        <v>7185055</v>
      </c>
      <c r="S117" s="32">
        <f t="shared" si="61"/>
        <v>0</v>
      </c>
      <c r="T117" s="32">
        <f t="shared" si="55"/>
        <v>0</v>
      </c>
      <c r="U117" s="32">
        <f t="shared" si="90"/>
        <v>0</v>
      </c>
      <c r="V117" s="32">
        <f t="shared" si="90"/>
        <v>0</v>
      </c>
      <c r="W117" s="32">
        <f t="shared" si="90"/>
        <v>0</v>
      </c>
      <c r="X117" s="32">
        <f t="shared" si="62"/>
        <v>0</v>
      </c>
      <c r="Y117" s="32"/>
      <c r="Z117" s="32">
        <f t="shared" si="90"/>
        <v>0</v>
      </c>
      <c r="AA117" s="32">
        <f t="shared" si="90"/>
        <v>0</v>
      </c>
      <c r="AB117" s="32">
        <f t="shared" si="90"/>
        <v>0</v>
      </c>
      <c r="AC117" s="32">
        <f t="shared" si="63"/>
        <v>0</v>
      </c>
      <c r="AD117" s="32"/>
      <c r="AE117" s="32">
        <f t="shared" si="90"/>
        <v>0</v>
      </c>
      <c r="AF117" s="32">
        <f t="shared" si="90"/>
        <v>0</v>
      </c>
      <c r="AG117" s="32">
        <f t="shared" si="90"/>
        <v>0</v>
      </c>
      <c r="AH117" s="32">
        <f t="shared" si="90"/>
        <v>0</v>
      </c>
      <c r="AI117" s="32">
        <f t="shared" si="90"/>
        <v>0</v>
      </c>
      <c r="AJ117" s="32">
        <f t="shared" si="90"/>
        <v>0</v>
      </c>
      <c r="AK117" s="7">
        <v>0</v>
      </c>
      <c r="AL117" s="32">
        <v>0</v>
      </c>
      <c r="AM117" s="32"/>
      <c r="AN117" s="4">
        <v>0</v>
      </c>
      <c r="AO117" s="32">
        <f t="shared" si="64"/>
        <v>0</v>
      </c>
      <c r="AP117" s="32">
        <f t="shared" si="65"/>
        <v>0</v>
      </c>
      <c r="AS117" s="32">
        <f t="shared" si="66"/>
        <v>0</v>
      </c>
      <c r="AT117" s="32">
        <f t="shared" si="56"/>
        <v>0</v>
      </c>
      <c r="AU117" s="32">
        <f t="shared" si="67"/>
        <v>0</v>
      </c>
      <c r="AV117" s="4">
        <f t="shared" si="68"/>
        <v>0</v>
      </c>
      <c r="AW117" s="32">
        <f t="shared" si="69"/>
        <v>0</v>
      </c>
      <c r="AX117" s="4">
        <f t="shared" si="70"/>
        <v>0</v>
      </c>
      <c r="AY117" s="32">
        <f t="shared" si="71"/>
        <v>0</v>
      </c>
      <c r="AZ117" s="4">
        <f t="shared" si="72"/>
        <v>0</v>
      </c>
      <c r="BA117" s="32">
        <f t="shared" si="73"/>
        <v>0</v>
      </c>
      <c r="BB117" s="32">
        <f t="shared" si="57"/>
        <v>0</v>
      </c>
      <c r="BC117" s="32">
        <f t="shared" si="74"/>
        <v>0</v>
      </c>
      <c r="BD117" s="32">
        <f t="shared" si="75"/>
        <v>0</v>
      </c>
      <c r="BF117" s="32">
        <f t="shared" si="76"/>
        <v>0</v>
      </c>
      <c r="BG117" s="32">
        <f t="shared" si="58"/>
        <v>0</v>
      </c>
      <c r="BH117" s="32">
        <f t="shared" si="77"/>
        <v>0</v>
      </c>
      <c r="BI117" s="4">
        <f t="shared" si="78"/>
        <v>0</v>
      </c>
      <c r="BJ117" s="32">
        <f t="shared" si="79"/>
        <v>0</v>
      </c>
      <c r="BK117" s="4">
        <f t="shared" si="80"/>
        <v>0</v>
      </c>
      <c r="BL117" s="32">
        <f t="shared" si="81"/>
        <v>0</v>
      </c>
      <c r="BM117" s="4">
        <f t="shared" si="82"/>
        <v>0</v>
      </c>
      <c r="BN117" s="32">
        <f t="shared" si="83"/>
        <v>0</v>
      </c>
      <c r="BO117" s="4">
        <f t="shared" si="84"/>
        <v>0</v>
      </c>
      <c r="BP117" s="32">
        <f t="shared" si="85"/>
        <v>0</v>
      </c>
      <c r="BQ117" s="32">
        <f t="shared" si="86"/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  <c r="DO117" s="4">
        <v>0</v>
      </c>
      <c r="DP117" s="4">
        <v>0</v>
      </c>
      <c r="DQ117" s="4">
        <v>0</v>
      </c>
    </row>
    <row r="118" spans="1:121" x14ac:dyDescent="0.35">
      <c r="A118" s="84">
        <f>'2017 Prop share of contribs'!A114</f>
        <v>109</v>
      </c>
      <c r="B118" s="84" t="str">
        <f>'2017 Prop share of contribs'!B114</f>
        <v xml:space="preserve">TAYLOR COUNTY SCHOOLS  </v>
      </c>
      <c r="C118" s="25" t="s">
        <v>228</v>
      </c>
      <c r="D118" s="33">
        <f>ROUND('Employer Allocations'!G157,8)</f>
        <v>0</v>
      </c>
      <c r="E118" s="4">
        <f>ROUND('Employer Allocations'!H157,8)</f>
        <v>3.434E-3</v>
      </c>
      <c r="F118" s="4">
        <f>ROUND('Employer Allocations'!I157,8)</f>
        <v>3.434E-3</v>
      </c>
      <c r="G118" s="4">
        <v>0</v>
      </c>
      <c r="H118" s="4">
        <v>3.4328200000000001E-3</v>
      </c>
      <c r="I118" s="4">
        <v>3.4328200000000001E-3</v>
      </c>
      <c r="J118" s="7">
        <f t="shared" si="50"/>
        <v>0</v>
      </c>
      <c r="K118" s="7">
        <f t="shared" si="51"/>
        <v>92658744</v>
      </c>
      <c r="L118" s="7">
        <f t="shared" si="59"/>
        <v>92658744</v>
      </c>
      <c r="M118" s="7"/>
      <c r="N118" s="7">
        <f t="shared" si="52"/>
        <v>0</v>
      </c>
      <c r="O118" s="32">
        <f t="shared" si="53"/>
        <v>0</v>
      </c>
      <c r="P118" s="32"/>
      <c r="Q118" s="32">
        <f t="shared" si="54"/>
        <v>6595882</v>
      </c>
      <c r="R118" s="32">
        <f t="shared" si="60"/>
        <v>6595882</v>
      </c>
      <c r="S118" s="32">
        <f t="shared" si="61"/>
        <v>0</v>
      </c>
      <c r="T118" s="32">
        <f t="shared" si="55"/>
        <v>0</v>
      </c>
      <c r="U118" s="32">
        <f t="shared" si="90"/>
        <v>0</v>
      </c>
      <c r="V118" s="32">
        <f t="shared" si="90"/>
        <v>0</v>
      </c>
      <c r="W118" s="32">
        <f t="shared" si="90"/>
        <v>0</v>
      </c>
      <c r="X118" s="32">
        <f t="shared" si="62"/>
        <v>0</v>
      </c>
      <c r="Y118" s="32"/>
      <c r="Z118" s="32">
        <f t="shared" si="90"/>
        <v>0</v>
      </c>
      <c r="AA118" s="32">
        <f t="shared" si="90"/>
        <v>0</v>
      </c>
      <c r="AB118" s="32">
        <f t="shared" si="90"/>
        <v>0</v>
      </c>
      <c r="AC118" s="32">
        <f t="shared" si="63"/>
        <v>0</v>
      </c>
      <c r="AD118" s="32"/>
      <c r="AE118" s="32">
        <f t="shared" si="90"/>
        <v>0</v>
      </c>
      <c r="AF118" s="32">
        <f t="shared" si="90"/>
        <v>0</v>
      </c>
      <c r="AG118" s="32">
        <f t="shared" si="90"/>
        <v>0</v>
      </c>
      <c r="AH118" s="32">
        <f t="shared" si="90"/>
        <v>0</v>
      </c>
      <c r="AI118" s="32">
        <f t="shared" si="90"/>
        <v>0</v>
      </c>
      <c r="AJ118" s="32">
        <f t="shared" si="90"/>
        <v>0</v>
      </c>
      <c r="AK118" s="7">
        <v>0</v>
      </c>
      <c r="AL118" s="32">
        <v>0</v>
      </c>
      <c r="AM118" s="32"/>
      <c r="AN118" s="4">
        <v>0</v>
      </c>
      <c r="AO118" s="32">
        <f t="shared" si="64"/>
        <v>0</v>
      </c>
      <c r="AP118" s="32">
        <f t="shared" si="65"/>
        <v>0</v>
      </c>
      <c r="AS118" s="32">
        <f t="shared" si="66"/>
        <v>0</v>
      </c>
      <c r="AT118" s="32">
        <f t="shared" si="56"/>
        <v>0</v>
      </c>
      <c r="AU118" s="32">
        <f t="shared" si="67"/>
        <v>0</v>
      </c>
      <c r="AV118" s="4">
        <f t="shared" si="68"/>
        <v>0</v>
      </c>
      <c r="AW118" s="32">
        <f t="shared" si="69"/>
        <v>0</v>
      </c>
      <c r="AX118" s="4">
        <f t="shared" si="70"/>
        <v>0</v>
      </c>
      <c r="AY118" s="32">
        <f t="shared" si="71"/>
        <v>0</v>
      </c>
      <c r="AZ118" s="4">
        <f t="shared" si="72"/>
        <v>0</v>
      </c>
      <c r="BA118" s="32">
        <f t="shared" si="73"/>
        <v>0</v>
      </c>
      <c r="BB118" s="32">
        <f t="shared" si="57"/>
        <v>0</v>
      </c>
      <c r="BC118" s="32">
        <f t="shared" si="74"/>
        <v>0</v>
      </c>
      <c r="BD118" s="32">
        <f t="shared" si="75"/>
        <v>0</v>
      </c>
      <c r="BF118" s="32">
        <f t="shared" si="76"/>
        <v>0</v>
      </c>
      <c r="BG118" s="32">
        <f t="shared" si="58"/>
        <v>0</v>
      </c>
      <c r="BH118" s="32">
        <f t="shared" si="77"/>
        <v>0</v>
      </c>
      <c r="BI118" s="4">
        <f t="shared" si="78"/>
        <v>0</v>
      </c>
      <c r="BJ118" s="32">
        <f t="shared" si="79"/>
        <v>0</v>
      </c>
      <c r="BK118" s="4">
        <f t="shared" si="80"/>
        <v>0</v>
      </c>
      <c r="BL118" s="32">
        <f t="shared" si="81"/>
        <v>0</v>
      </c>
      <c r="BM118" s="4">
        <f t="shared" si="82"/>
        <v>0</v>
      </c>
      <c r="BN118" s="32">
        <f t="shared" si="83"/>
        <v>0</v>
      </c>
      <c r="BO118" s="4">
        <f t="shared" si="84"/>
        <v>0</v>
      </c>
      <c r="BP118" s="32">
        <f t="shared" si="85"/>
        <v>0</v>
      </c>
      <c r="BQ118" s="32">
        <f t="shared" si="86"/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  <c r="DO118" s="4">
        <v>0</v>
      </c>
      <c r="DP118" s="4">
        <v>0</v>
      </c>
      <c r="DQ118" s="4">
        <v>0</v>
      </c>
    </row>
    <row r="119" spans="1:121" x14ac:dyDescent="0.35">
      <c r="A119" s="84">
        <f>'2017 Prop share of contribs'!A115</f>
        <v>110</v>
      </c>
      <c r="B119" s="84" t="str">
        <f>'2017 Prop share of contribs'!B115</f>
        <v xml:space="preserve">TODD COUNTY SCHOOLS  </v>
      </c>
      <c r="C119" s="25" t="s">
        <v>229</v>
      </c>
      <c r="D119" s="33">
        <f>ROUND('Employer Allocations'!G158,8)</f>
        <v>0</v>
      </c>
      <c r="E119" s="4">
        <f>ROUND('Employer Allocations'!H158,8)</f>
        <v>2.35031E-3</v>
      </c>
      <c r="F119" s="4">
        <f>ROUND('Employer Allocations'!I158,8)</f>
        <v>2.35031E-3</v>
      </c>
      <c r="G119" s="4">
        <v>0</v>
      </c>
      <c r="H119" s="4">
        <v>2.4331499999999998E-3</v>
      </c>
      <c r="I119" s="4">
        <v>2.4331499999999998E-3</v>
      </c>
      <c r="J119" s="7">
        <f t="shared" si="50"/>
        <v>0</v>
      </c>
      <c r="K119" s="7">
        <f t="shared" si="51"/>
        <v>63417813</v>
      </c>
      <c r="L119" s="7">
        <f t="shared" si="59"/>
        <v>63417813</v>
      </c>
      <c r="M119" s="7"/>
      <c r="N119" s="7">
        <f t="shared" si="52"/>
        <v>0</v>
      </c>
      <c r="O119" s="32">
        <f t="shared" si="53"/>
        <v>0</v>
      </c>
      <c r="P119" s="32"/>
      <c r="Q119" s="32">
        <f t="shared" si="54"/>
        <v>4514376</v>
      </c>
      <c r="R119" s="32">
        <f t="shared" si="60"/>
        <v>4514376</v>
      </c>
      <c r="S119" s="32">
        <f t="shared" si="61"/>
        <v>0</v>
      </c>
      <c r="T119" s="32">
        <f t="shared" si="55"/>
        <v>0</v>
      </c>
      <c r="U119" s="32">
        <f t="shared" si="90"/>
        <v>0</v>
      </c>
      <c r="V119" s="32">
        <f t="shared" si="90"/>
        <v>0</v>
      </c>
      <c r="W119" s="32">
        <f t="shared" si="90"/>
        <v>0</v>
      </c>
      <c r="X119" s="32">
        <f t="shared" si="62"/>
        <v>0</v>
      </c>
      <c r="Y119" s="32"/>
      <c r="Z119" s="32">
        <f t="shared" si="90"/>
        <v>0</v>
      </c>
      <c r="AA119" s="32">
        <f t="shared" si="90"/>
        <v>0</v>
      </c>
      <c r="AB119" s="32">
        <f t="shared" si="90"/>
        <v>0</v>
      </c>
      <c r="AC119" s="32">
        <f t="shared" si="63"/>
        <v>0</v>
      </c>
      <c r="AD119" s="32"/>
      <c r="AE119" s="32">
        <f t="shared" si="90"/>
        <v>0</v>
      </c>
      <c r="AF119" s="32">
        <f t="shared" si="90"/>
        <v>0</v>
      </c>
      <c r="AG119" s="32">
        <f t="shared" si="90"/>
        <v>0</v>
      </c>
      <c r="AH119" s="32">
        <f t="shared" si="90"/>
        <v>0</v>
      </c>
      <c r="AI119" s="32">
        <f t="shared" si="90"/>
        <v>0</v>
      </c>
      <c r="AJ119" s="32">
        <f t="shared" si="90"/>
        <v>0</v>
      </c>
      <c r="AK119" s="7">
        <v>0</v>
      </c>
      <c r="AL119" s="32">
        <v>0</v>
      </c>
      <c r="AM119" s="32"/>
      <c r="AN119" s="4">
        <v>0</v>
      </c>
      <c r="AO119" s="32">
        <f t="shared" si="64"/>
        <v>0</v>
      </c>
      <c r="AP119" s="32">
        <f t="shared" si="65"/>
        <v>0</v>
      </c>
      <c r="AS119" s="32">
        <f t="shared" si="66"/>
        <v>0</v>
      </c>
      <c r="AT119" s="32">
        <f t="shared" si="56"/>
        <v>0</v>
      </c>
      <c r="AU119" s="32">
        <f t="shared" si="67"/>
        <v>0</v>
      </c>
      <c r="AV119" s="4">
        <f t="shared" si="68"/>
        <v>0</v>
      </c>
      <c r="AW119" s="32">
        <f t="shared" si="69"/>
        <v>0</v>
      </c>
      <c r="AX119" s="4">
        <f t="shared" si="70"/>
        <v>0</v>
      </c>
      <c r="AY119" s="32">
        <f t="shared" si="71"/>
        <v>0</v>
      </c>
      <c r="AZ119" s="4">
        <f t="shared" si="72"/>
        <v>0</v>
      </c>
      <c r="BA119" s="32">
        <f t="shared" si="73"/>
        <v>0</v>
      </c>
      <c r="BB119" s="32">
        <f t="shared" si="57"/>
        <v>0</v>
      </c>
      <c r="BC119" s="32">
        <f t="shared" si="74"/>
        <v>0</v>
      </c>
      <c r="BD119" s="32">
        <f t="shared" si="75"/>
        <v>0</v>
      </c>
      <c r="BF119" s="32">
        <f t="shared" si="76"/>
        <v>0</v>
      </c>
      <c r="BG119" s="32">
        <f t="shared" si="58"/>
        <v>0</v>
      </c>
      <c r="BH119" s="32">
        <f t="shared" si="77"/>
        <v>0</v>
      </c>
      <c r="BI119" s="4">
        <f t="shared" si="78"/>
        <v>0</v>
      </c>
      <c r="BJ119" s="32">
        <f t="shared" si="79"/>
        <v>0</v>
      </c>
      <c r="BK119" s="4">
        <f t="shared" si="80"/>
        <v>0</v>
      </c>
      <c r="BL119" s="32">
        <f t="shared" si="81"/>
        <v>0</v>
      </c>
      <c r="BM119" s="4">
        <f t="shared" si="82"/>
        <v>0</v>
      </c>
      <c r="BN119" s="32">
        <f t="shared" si="83"/>
        <v>0</v>
      </c>
      <c r="BO119" s="4">
        <f t="shared" si="84"/>
        <v>0</v>
      </c>
      <c r="BP119" s="32">
        <f t="shared" si="85"/>
        <v>0</v>
      </c>
      <c r="BQ119" s="32">
        <f t="shared" si="86"/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  <c r="DO119" s="4">
        <v>0</v>
      </c>
      <c r="DP119" s="4">
        <v>0</v>
      </c>
      <c r="DQ119" s="4">
        <v>0</v>
      </c>
    </row>
    <row r="120" spans="1:121" x14ac:dyDescent="0.35">
      <c r="A120" s="84">
        <f>'2017 Prop share of contribs'!A116</f>
        <v>111</v>
      </c>
      <c r="B120" s="84" t="str">
        <f>'2017 Prop share of contribs'!B116</f>
        <v xml:space="preserve">TRIGG COUNTY SCHOOLS  </v>
      </c>
      <c r="C120" s="25" t="s">
        <v>230</v>
      </c>
      <c r="D120" s="33">
        <f>ROUND('Employer Allocations'!G159,8)</f>
        <v>0</v>
      </c>
      <c r="E120" s="4">
        <f>ROUND('Employer Allocations'!H159,8)</f>
        <v>2.89164E-3</v>
      </c>
      <c r="F120" s="4">
        <f>ROUND('Employer Allocations'!I159,8)</f>
        <v>2.89164E-3</v>
      </c>
      <c r="G120" s="4">
        <v>0</v>
      </c>
      <c r="H120" s="4">
        <v>2.9810800000000001E-3</v>
      </c>
      <c r="I120" s="4">
        <v>2.9810800000000001E-3</v>
      </c>
      <c r="J120" s="7">
        <f t="shared" si="50"/>
        <v>0</v>
      </c>
      <c r="K120" s="7">
        <f t="shared" si="51"/>
        <v>78024382</v>
      </c>
      <c r="L120" s="7">
        <f t="shared" si="59"/>
        <v>78024382</v>
      </c>
      <c r="M120" s="7"/>
      <c r="N120" s="7">
        <f t="shared" si="52"/>
        <v>0</v>
      </c>
      <c r="O120" s="32">
        <f t="shared" si="53"/>
        <v>0</v>
      </c>
      <c r="P120" s="32"/>
      <c r="Q120" s="32">
        <f t="shared" si="54"/>
        <v>5554140</v>
      </c>
      <c r="R120" s="32">
        <f t="shared" si="60"/>
        <v>5554140</v>
      </c>
      <c r="S120" s="32">
        <f t="shared" si="61"/>
        <v>0</v>
      </c>
      <c r="T120" s="32">
        <f t="shared" si="55"/>
        <v>0</v>
      </c>
      <c r="U120" s="32">
        <f t="shared" ref="U120:AJ135" si="91">ROUND(U$2*$D120,0)</f>
        <v>0</v>
      </c>
      <c r="V120" s="32">
        <f t="shared" si="91"/>
        <v>0</v>
      </c>
      <c r="W120" s="32">
        <f t="shared" si="91"/>
        <v>0</v>
      </c>
      <c r="X120" s="32">
        <f t="shared" si="62"/>
        <v>0</v>
      </c>
      <c r="Y120" s="32"/>
      <c r="Z120" s="32">
        <f t="shared" si="91"/>
        <v>0</v>
      </c>
      <c r="AA120" s="32">
        <f t="shared" si="91"/>
        <v>0</v>
      </c>
      <c r="AB120" s="32">
        <f t="shared" si="91"/>
        <v>0</v>
      </c>
      <c r="AC120" s="32">
        <f t="shared" si="63"/>
        <v>0</v>
      </c>
      <c r="AD120" s="32"/>
      <c r="AE120" s="32">
        <f t="shared" si="91"/>
        <v>0</v>
      </c>
      <c r="AF120" s="32">
        <f t="shared" si="91"/>
        <v>0</v>
      </c>
      <c r="AG120" s="32">
        <f t="shared" si="91"/>
        <v>0</v>
      </c>
      <c r="AH120" s="32">
        <f t="shared" si="91"/>
        <v>0</v>
      </c>
      <c r="AI120" s="32">
        <f t="shared" si="91"/>
        <v>0</v>
      </c>
      <c r="AJ120" s="32">
        <f t="shared" si="90"/>
        <v>0</v>
      </c>
      <c r="AK120" s="7">
        <v>0</v>
      </c>
      <c r="AL120" s="32">
        <v>0</v>
      </c>
      <c r="AM120" s="32"/>
      <c r="AN120" s="4">
        <v>0</v>
      </c>
      <c r="AO120" s="32">
        <f t="shared" si="64"/>
        <v>0</v>
      </c>
      <c r="AP120" s="32">
        <f t="shared" si="65"/>
        <v>0</v>
      </c>
      <c r="AS120" s="32">
        <f t="shared" si="66"/>
        <v>0</v>
      </c>
      <c r="AT120" s="32">
        <f t="shared" si="56"/>
        <v>0</v>
      </c>
      <c r="AU120" s="32">
        <f t="shared" si="67"/>
        <v>0</v>
      </c>
      <c r="AV120" s="4">
        <f t="shared" si="68"/>
        <v>0</v>
      </c>
      <c r="AW120" s="32">
        <f t="shared" si="69"/>
        <v>0</v>
      </c>
      <c r="AX120" s="4">
        <f t="shared" si="70"/>
        <v>0</v>
      </c>
      <c r="AY120" s="32">
        <f t="shared" si="71"/>
        <v>0</v>
      </c>
      <c r="AZ120" s="4">
        <f t="shared" si="72"/>
        <v>0</v>
      </c>
      <c r="BA120" s="32">
        <f t="shared" si="73"/>
        <v>0</v>
      </c>
      <c r="BB120" s="32">
        <f t="shared" si="57"/>
        <v>0</v>
      </c>
      <c r="BC120" s="32">
        <f t="shared" si="74"/>
        <v>0</v>
      </c>
      <c r="BD120" s="32">
        <f t="shared" si="75"/>
        <v>0</v>
      </c>
      <c r="BF120" s="32">
        <f t="shared" si="76"/>
        <v>0</v>
      </c>
      <c r="BG120" s="32">
        <f t="shared" si="58"/>
        <v>0</v>
      </c>
      <c r="BH120" s="32">
        <f t="shared" si="77"/>
        <v>0</v>
      </c>
      <c r="BI120" s="4">
        <f t="shared" si="78"/>
        <v>0</v>
      </c>
      <c r="BJ120" s="32">
        <f t="shared" si="79"/>
        <v>0</v>
      </c>
      <c r="BK120" s="4">
        <f t="shared" si="80"/>
        <v>0</v>
      </c>
      <c r="BL120" s="32">
        <f t="shared" si="81"/>
        <v>0</v>
      </c>
      <c r="BM120" s="4">
        <f t="shared" si="82"/>
        <v>0</v>
      </c>
      <c r="BN120" s="32">
        <f t="shared" si="83"/>
        <v>0</v>
      </c>
      <c r="BO120" s="4">
        <f t="shared" si="84"/>
        <v>0</v>
      </c>
      <c r="BP120" s="32">
        <f t="shared" si="85"/>
        <v>0</v>
      </c>
      <c r="BQ120" s="32">
        <f t="shared" si="86"/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  <c r="DO120" s="4">
        <v>0</v>
      </c>
      <c r="DP120" s="4">
        <v>0</v>
      </c>
      <c r="DQ120" s="4">
        <v>0</v>
      </c>
    </row>
    <row r="121" spans="1:121" x14ac:dyDescent="0.35">
      <c r="A121" s="84">
        <f>'2017 Prop share of contribs'!A117</f>
        <v>112</v>
      </c>
      <c r="B121" s="84" t="str">
        <f>'2017 Prop share of contribs'!B117</f>
        <v xml:space="preserve">TRIMBLE COUNTY SCHOOLS  </v>
      </c>
      <c r="C121" s="25" t="s">
        <v>231</v>
      </c>
      <c r="D121" s="33">
        <f>ROUND('Employer Allocations'!G160,8)</f>
        <v>0</v>
      </c>
      <c r="E121" s="4">
        <f>ROUND('Employer Allocations'!H160,8)</f>
        <v>1.6889100000000001E-3</v>
      </c>
      <c r="F121" s="4">
        <f>ROUND('Employer Allocations'!I160,8)</f>
        <v>1.6889100000000001E-3</v>
      </c>
      <c r="G121" s="4">
        <v>0</v>
      </c>
      <c r="H121" s="4">
        <v>1.86488E-3</v>
      </c>
      <c r="I121" s="4">
        <v>1.86488E-3</v>
      </c>
      <c r="J121" s="7">
        <f t="shared" si="50"/>
        <v>0</v>
      </c>
      <c r="K121" s="7">
        <f t="shared" si="51"/>
        <v>45571426</v>
      </c>
      <c r="L121" s="7">
        <f t="shared" si="59"/>
        <v>45571426</v>
      </c>
      <c r="M121" s="7"/>
      <c r="N121" s="7">
        <f t="shared" si="52"/>
        <v>0</v>
      </c>
      <c r="O121" s="32">
        <f t="shared" si="53"/>
        <v>0</v>
      </c>
      <c r="P121" s="32"/>
      <c r="Q121" s="32">
        <f t="shared" si="54"/>
        <v>3243987</v>
      </c>
      <c r="R121" s="32">
        <f t="shared" si="60"/>
        <v>3243987</v>
      </c>
      <c r="S121" s="32">
        <f t="shared" si="61"/>
        <v>0</v>
      </c>
      <c r="T121" s="32">
        <f t="shared" si="55"/>
        <v>0</v>
      </c>
      <c r="U121" s="32">
        <f t="shared" si="91"/>
        <v>0</v>
      </c>
      <c r="V121" s="32">
        <f t="shared" si="91"/>
        <v>0</v>
      </c>
      <c r="W121" s="32">
        <f t="shared" si="91"/>
        <v>0</v>
      </c>
      <c r="X121" s="32">
        <f t="shared" si="62"/>
        <v>0</v>
      </c>
      <c r="Y121" s="32"/>
      <c r="Z121" s="32">
        <f t="shared" si="91"/>
        <v>0</v>
      </c>
      <c r="AA121" s="32">
        <f t="shared" si="91"/>
        <v>0</v>
      </c>
      <c r="AB121" s="32">
        <f t="shared" si="91"/>
        <v>0</v>
      </c>
      <c r="AC121" s="32">
        <f t="shared" si="63"/>
        <v>0</v>
      </c>
      <c r="AD121" s="32"/>
      <c r="AE121" s="32">
        <f t="shared" si="91"/>
        <v>0</v>
      </c>
      <c r="AF121" s="32">
        <f t="shared" si="91"/>
        <v>0</v>
      </c>
      <c r="AG121" s="32">
        <f t="shared" si="91"/>
        <v>0</v>
      </c>
      <c r="AH121" s="32">
        <f t="shared" si="91"/>
        <v>0</v>
      </c>
      <c r="AI121" s="32">
        <f t="shared" si="91"/>
        <v>0</v>
      </c>
      <c r="AJ121" s="32">
        <f t="shared" si="90"/>
        <v>0</v>
      </c>
      <c r="AK121" s="7">
        <v>0</v>
      </c>
      <c r="AL121" s="32">
        <v>0</v>
      </c>
      <c r="AM121" s="32"/>
      <c r="AN121" s="4">
        <v>0</v>
      </c>
      <c r="AO121" s="32">
        <f t="shared" si="64"/>
        <v>0</v>
      </c>
      <c r="AP121" s="32">
        <f t="shared" si="65"/>
        <v>0</v>
      </c>
      <c r="AS121" s="32">
        <f t="shared" si="66"/>
        <v>0</v>
      </c>
      <c r="AT121" s="32">
        <f t="shared" si="56"/>
        <v>0</v>
      </c>
      <c r="AU121" s="32">
        <f t="shared" si="67"/>
        <v>0</v>
      </c>
      <c r="AV121" s="4">
        <f t="shared" si="68"/>
        <v>0</v>
      </c>
      <c r="AW121" s="32">
        <f t="shared" si="69"/>
        <v>0</v>
      </c>
      <c r="AX121" s="4">
        <f t="shared" si="70"/>
        <v>0</v>
      </c>
      <c r="AY121" s="32">
        <f t="shared" si="71"/>
        <v>0</v>
      </c>
      <c r="AZ121" s="4">
        <f t="shared" si="72"/>
        <v>0</v>
      </c>
      <c r="BA121" s="32">
        <f t="shared" si="73"/>
        <v>0</v>
      </c>
      <c r="BB121" s="32">
        <f t="shared" si="57"/>
        <v>0</v>
      </c>
      <c r="BC121" s="32">
        <f t="shared" si="74"/>
        <v>0</v>
      </c>
      <c r="BD121" s="32">
        <f t="shared" si="75"/>
        <v>0</v>
      </c>
      <c r="BF121" s="32">
        <f t="shared" si="76"/>
        <v>0</v>
      </c>
      <c r="BG121" s="32">
        <f t="shared" si="58"/>
        <v>0</v>
      </c>
      <c r="BH121" s="32">
        <f t="shared" si="77"/>
        <v>0</v>
      </c>
      <c r="BI121" s="4">
        <f t="shared" si="78"/>
        <v>0</v>
      </c>
      <c r="BJ121" s="32">
        <f t="shared" si="79"/>
        <v>0</v>
      </c>
      <c r="BK121" s="4">
        <f t="shared" si="80"/>
        <v>0</v>
      </c>
      <c r="BL121" s="32">
        <f t="shared" si="81"/>
        <v>0</v>
      </c>
      <c r="BM121" s="4">
        <f t="shared" si="82"/>
        <v>0</v>
      </c>
      <c r="BN121" s="32">
        <f t="shared" si="83"/>
        <v>0</v>
      </c>
      <c r="BO121" s="4">
        <f t="shared" si="84"/>
        <v>0</v>
      </c>
      <c r="BP121" s="32">
        <f t="shared" si="85"/>
        <v>0</v>
      </c>
      <c r="BQ121" s="32">
        <f t="shared" si="86"/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  <c r="DO121" s="4">
        <v>0</v>
      </c>
      <c r="DP121" s="4">
        <v>0</v>
      </c>
      <c r="DQ121" s="4">
        <v>0</v>
      </c>
    </row>
    <row r="122" spans="1:121" x14ac:dyDescent="0.35">
      <c r="A122" s="84">
        <f>'2017 Prop share of contribs'!A118</f>
        <v>113</v>
      </c>
      <c r="B122" s="84" t="str">
        <f>'2017 Prop share of contribs'!B118</f>
        <v xml:space="preserve">UNION COUNTY SCHOOLS  </v>
      </c>
      <c r="C122" s="25" t="s">
        <v>232</v>
      </c>
      <c r="D122" s="33">
        <f>ROUND('Employer Allocations'!G161,8)</f>
        <v>0</v>
      </c>
      <c r="E122" s="4">
        <f>ROUND('Employer Allocations'!H161,8)</f>
        <v>3.0771499999999999E-3</v>
      </c>
      <c r="F122" s="4">
        <f>ROUND('Employer Allocations'!I161,8)</f>
        <v>3.0771499999999999E-3</v>
      </c>
      <c r="G122" s="4">
        <v>0</v>
      </c>
      <c r="H122" s="4">
        <v>3.1517099999999998E-3</v>
      </c>
      <c r="I122" s="4">
        <v>3.1517099999999998E-3</v>
      </c>
      <c r="J122" s="7">
        <f t="shared" si="50"/>
        <v>0</v>
      </c>
      <c r="K122" s="7">
        <f t="shared" si="51"/>
        <v>83029951</v>
      </c>
      <c r="L122" s="7">
        <f t="shared" si="59"/>
        <v>83029951</v>
      </c>
      <c r="M122" s="7"/>
      <c r="N122" s="7">
        <f t="shared" si="52"/>
        <v>0</v>
      </c>
      <c r="O122" s="32">
        <f t="shared" si="53"/>
        <v>0</v>
      </c>
      <c r="P122" s="32"/>
      <c r="Q122" s="32">
        <f t="shared" si="54"/>
        <v>5910459</v>
      </c>
      <c r="R122" s="32">
        <f t="shared" si="60"/>
        <v>5910459</v>
      </c>
      <c r="S122" s="32">
        <f t="shared" si="61"/>
        <v>0</v>
      </c>
      <c r="T122" s="32">
        <f t="shared" si="55"/>
        <v>0</v>
      </c>
      <c r="U122" s="32">
        <f t="shared" si="91"/>
        <v>0</v>
      </c>
      <c r="V122" s="32">
        <f t="shared" si="91"/>
        <v>0</v>
      </c>
      <c r="W122" s="32">
        <f t="shared" si="91"/>
        <v>0</v>
      </c>
      <c r="X122" s="32">
        <f t="shared" si="62"/>
        <v>0</v>
      </c>
      <c r="Y122" s="32"/>
      <c r="Z122" s="32">
        <f t="shared" si="91"/>
        <v>0</v>
      </c>
      <c r="AA122" s="32">
        <f t="shared" si="91"/>
        <v>0</v>
      </c>
      <c r="AB122" s="32">
        <f t="shared" si="91"/>
        <v>0</v>
      </c>
      <c r="AC122" s="32">
        <f t="shared" si="63"/>
        <v>0</v>
      </c>
      <c r="AD122" s="32"/>
      <c r="AE122" s="32">
        <f t="shared" si="91"/>
        <v>0</v>
      </c>
      <c r="AF122" s="32">
        <f t="shared" si="91"/>
        <v>0</v>
      </c>
      <c r="AG122" s="32">
        <f t="shared" si="91"/>
        <v>0</v>
      </c>
      <c r="AH122" s="32">
        <f t="shared" si="91"/>
        <v>0</v>
      </c>
      <c r="AI122" s="32">
        <f t="shared" si="91"/>
        <v>0</v>
      </c>
      <c r="AJ122" s="32">
        <f t="shared" si="90"/>
        <v>0</v>
      </c>
      <c r="AK122" s="7">
        <v>0</v>
      </c>
      <c r="AL122" s="32">
        <v>0</v>
      </c>
      <c r="AM122" s="32"/>
      <c r="AN122" s="4">
        <v>0</v>
      </c>
      <c r="AO122" s="32">
        <f t="shared" si="64"/>
        <v>0</v>
      </c>
      <c r="AP122" s="32">
        <f t="shared" si="65"/>
        <v>0</v>
      </c>
      <c r="AS122" s="32">
        <f t="shared" si="66"/>
        <v>0</v>
      </c>
      <c r="AT122" s="32">
        <f t="shared" si="56"/>
        <v>0</v>
      </c>
      <c r="AU122" s="32">
        <f t="shared" si="67"/>
        <v>0</v>
      </c>
      <c r="AV122" s="4">
        <f t="shared" si="68"/>
        <v>0</v>
      </c>
      <c r="AW122" s="32">
        <f t="shared" si="69"/>
        <v>0</v>
      </c>
      <c r="AX122" s="4">
        <f t="shared" si="70"/>
        <v>0</v>
      </c>
      <c r="AY122" s="32">
        <f t="shared" si="71"/>
        <v>0</v>
      </c>
      <c r="AZ122" s="4">
        <f t="shared" si="72"/>
        <v>0</v>
      </c>
      <c r="BA122" s="32">
        <f t="shared" si="73"/>
        <v>0</v>
      </c>
      <c r="BB122" s="32">
        <f t="shared" si="57"/>
        <v>0</v>
      </c>
      <c r="BC122" s="32">
        <f t="shared" si="74"/>
        <v>0</v>
      </c>
      <c r="BD122" s="32">
        <f t="shared" si="75"/>
        <v>0</v>
      </c>
      <c r="BF122" s="32">
        <f t="shared" si="76"/>
        <v>0</v>
      </c>
      <c r="BG122" s="32">
        <f t="shared" si="58"/>
        <v>0</v>
      </c>
      <c r="BH122" s="32">
        <f t="shared" si="77"/>
        <v>0</v>
      </c>
      <c r="BI122" s="4">
        <f t="shared" si="78"/>
        <v>0</v>
      </c>
      <c r="BJ122" s="32">
        <f t="shared" si="79"/>
        <v>0</v>
      </c>
      <c r="BK122" s="4">
        <f t="shared" si="80"/>
        <v>0</v>
      </c>
      <c r="BL122" s="32">
        <f t="shared" si="81"/>
        <v>0</v>
      </c>
      <c r="BM122" s="4">
        <f t="shared" si="82"/>
        <v>0</v>
      </c>
      <c r="BN122" s="32">
        <f t="shared" si="83"/>
        <v>0</v>
      </c>
      <c r="BO122" s="4">
        <f t="shared" si="84"/>
        <v>0</v>
      </c>
      <c r="BP122" s="32">
        <f t="shared" si="85"/>
        <v>0</v>
      </c>
      <c r="BQ122" s="32">
        <f t="shared" si="86"/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  <c r="DO122" s="4">
        <v>0</v>
      </c>
      <c r="DP122" s="4">
        <v>0</v>
      </c>
      <c r="DQ122" s="4">
        <v>0</v>
      </c>
    </row>
    <row r="123" spans="1:121" x14ac:dyDescent="0.35">
      <c r="A123" s="84">
        <f>'2017 Prop share of contribs'!A119</f>
        <v>114</v>
      </c>
      <c r="B123" s="84" t="str">
        <f>'2017 Prop share of contribs'!B119</f>
        <v xml:space="preserve">WARREN COUNTY SCHOOLS  </v>
      </c>
      <c r="C123" s="25" t="s">
        <v>233</v>
      </c>
      <c r="D123" s="33">
        <f>ROUND('Employer Allocations'!G162,8)</f>
        <v>0</v>
      </c>
      <c r="E123" s="4">
        <f>ROUND('Employer Allocations'!H162,8)</f>
        <v>1.8805820000000001E-2</v>
      </c>
      <c r="F123" s="4">
        <f>ROUND('Employer Allocations'!I162,8)</f>
        <v>1.8805820000000001E-2</v>
      </c>
      <c r="G123" s="4">
        <v>0</v>
      </c>
      <c r="H123" s="4">
        <v>1.8530939999999999E-2</v>
      </c>
      <c r="I123" s="4">
        <v>1.8530939999999999E-2</v>
      </c>
      <c r="J123" s="7">
        <f t="shared" si="50"/>
        <v>0</v>
      </c>
      <c r="K123" s="7">
        <f t="shared" si="51"/>
        <v>507432630</v>
      </c>
      <c r="L123" s="7">
        <f t="shared" si="59"/>
        <v>507432630</v>
      </c>
      <c r="M123" s="7"/>
      <c r="N123" s="7">
        <f t="shared" si="52"/>
        <v>0</v>
      </c>
      <c r="O123" s="32">
        <f t="shared" si="53"/>
        <v>0</v>
      </c>
      <c r="P123" s="32"/>
      <c r="Q123" s="32">
        <f t="shared" si="54"/>
        <v>36121423</v>
      </c>
      <c r="R123" s="32">
        <f t="shared" si="60"/>
        <v>36121423</v>
      </c>
      <c r="S123" s="32">
        <f t="shared" si="61"/>
        <v>0</v>
      </c>
      <c r="T123" s="32">
        <f t="shared" si="55"/>
        <v>0</v>
      </c>
      <c r="U123" s="32">
        <f t="shared" si="91"/>
        <v>0</v>
      </c>
      <c r="V123" s="32">
        <f t="shared" si="91"/>
        <v>0</v>
      </c>
      <c r="W123" s="32">
        <f t="shared" si="91"/>
        <v>0</v>
      </c>
      <c r="X123" s="32">
        <f t="shared" si="62"/>
        <v>0</v>
      </c>
      <c r="Y123" s="32"/>
      <c r="Z123" s="32">
        <f t="shared" si="91"/>
        <v>0</v>
      </c>
      <c r="AA123" s="32">
        <f t="shared" si="91"/>
        <v>0</v>
      </c>
      <c r="AB123" s="32">
        <f t="shared" si="91"/>
        <v>0</v>
      </c>
      <c r="AC123" s="32">
        <f t="shared" si="63"/>
        <v>0</v>
      </c>
      <c r="AD123" s="32"/>
      <c r="AE123" s="32">
        <f t="shared" si="91"/>
        <v>0</v>
      </c>
      <c r="AF123" s="32">
        <f t="shared" si="91"/>
        <v>0</v>
      </c>
      <c r="AG123" s="32">
        <f t="shared" si="91"/>
        <v>0</v>
      </c>
      <c r="AH123" s="32">
        <f t="shared" si="91"/>
        <v>0</v>
      </c>
      <c r="AI123" s="32">
        <f t="shared" si="91"/>
        <v>0</v>
      </c>
      <c r="AJ123" s="32">
        <f t="shared" si="90"/>
        <v>0</v>
      </c>
      <c r="AK123" s="7">
        <v>0</v>
      </c>
      <c r="AL123" s="32">
        <v>0</v>
      </c>
      <c r="AM123" s="32"/>
      <c r="AN123" s="4">
        <v>0</v>
      </c>
      <c r="AO123" s="32">
        <f t="shared" si="64"/>
        <v>0</v>
      </c>
      <c r="AP123" s="32">
        <f t="shared" si="65"/>
        <v>0</v>
      </c>
      <c r="AS123" s="32">
        <f t="shared" si="66"/>
        <v>0</v>
      </c>
      <c r="AT123" s="32">
        <f t="shared" si="56"/>
        <v>0</v>
      </c>
      <c r="AU123" s="32">
        <f t="shared" si="67"/>
        <v>0</v>
      </c>
      <c r="AV123" s="4">
        <f t="shared" si="68"/>
        <v>0</v>
      </c>
      <c r="AW123" s="32">
        <f t="shared" si="69"/>
        <v>0</v>
      </c>
      <c r="AX123" s="4">
        <f t="shared" si="70"/>
        <v>0</v>
      </c>
      <c r="AY123" s="32">
        <f t="shared" si="71"/>
        <v>0</v>
      </c>
      <c r="AZ123" s="4">
        <f t="shared" si="72"/>
        <v>0</v>
      </c>
      <c r="BA123" s="32">
        <f t="shared" si="73"/>
        <v>0</v>
      </c>
      <c r="BB123" s="32">
        <f t="shared" si="57"/>
        <v>0</v>
      </c>
      <c r="BC123" s="32">
        <f t="shared" si="74"/>
        <v>0</v>
      </c>
      <c r="BD123" s="32">
        <f t="shared" si="75"/>
        <v>0</v>
      </c>
      <c r="BF123" s="32">
        <f t="shared" si="76"/>
        <v>0</v>
      </c>
      <c r="BG123" s="32">
        <f t="shared" si="58"/>
        <v>0</v>
      </c>
      <c r="BH123" s="32">
        <f t="shared" si="77"/>
        <v>0</v>
      </c>
      <c r="BI123" s="4">
        <f t="shared" si="78"/>
        <v>0</v>
      </c>
      <c r="BJ123" s="32">
        <f t="shared" si="79"/>
        <v>0</v>
      </c>
      <c r="BK123" s="4">
        <f t="shared" si="80"/>
        <v>0</v>
      </c>
      <c r="BL123" s="32">
        <f t="shared" si="81"/>
        <v>0</v>
      </c>
      <c r="BM123" s="4">
        <f t="shared" si="82"/>
        <v>0</v>
      </c>
      <c r="BN123" s="32">
        <f t="shared" si="83"/>
        <v>0</v>
      </c>
      <c r="BO123" s="4">
        <f t="shared" si="84"/>
        <v>0</v>
      </c>
      <c r="BP123" s="32">
        <f t="shared" si="85"/>
        <v>0</v>
      </c>
      <c r="BQ123" s="32">
        <f t="shared" si="86"/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  <c r="DO123" s="4">
        <v>0</v>
      </c>
      <c r="DP123" s="4">
        <v>0</v>
      </c>
      <c r="DQ123" s="4">
        <v>0</v>
      </c>
    </row>
    <row r="124" spans="1:121" x14ac:dyDescent="0.35">
      <c r="A124" s="84">
        <f>'2017 Prop share of contribs'!A120</f>
        <v>115</v>
      </c>
      <c r="B124" s="84" t="str">
        <f>'2017 Prop share of contribs'!B120</f>
        <v xml:space="preserve">WASHINGTON COUNTY SCHOOLS  </v>
      </c>
      <c r="C124" s="25" t="s">
        <v>234</v>
      </c>
      <c r="D124" s="33">
        <f>ROUND('Employer Allocations'!G163,8)</f>
        <v>0</v>
      </c>
      <c r="E124" s="4">
        <f>ROUND('Employer Allocations'!H163,8)</f>
        <v>2.4918700000000002E-3</v>
      </c>
      <c r="F124" s="4">
        <f>ROUND('Employer Allocations'!I163,8)</f>
        <v>2.4918700000000002E-3</v>
      </c>
      <c r="G124" s="4">
        <v>0</v>
      </c>
      <c r="H124" s="4">
        <v>2.5137699999999998E-3</v>
      </c>
      <c r="I124" s="4">
        <v>2.5137699999999998E-3</v>
      </c>
      <c r="J124" s="7">
        <f t="shared" si="50"/>
        <v>0</v>
      </c>
      <c r="K124" s="7">
        <f t="shared" si="51"/>
        <v>67237491</v>
      </c>
      <c r="L124" s="7">
        <f t="shared" si="59"/>
        <v>67237491</v>
      </c>
      <c r="M124" s="7"/>
      <c r="N124" s="7">
        <f t="shared" si="52"/>
        <v>0</v>
      </c>
      <c r="O124" s="32">
        <f t="shared" si="53"/>
        <v>0</v>
      </c>
      <c r="P124" s="32"/>
      <c r="Q124" s="32">
        <f t="shared" si="54"/>
        <v>4786278</v>
      </c>
      <c r="R124" s="32">
        <f t="shared" si="60"/>
        <v>4786278</v>
      </c>
      <c r="S124" s="32">
        <f t="shared" si="61"/>
        <v>0</v>
      </c>
      <c r="T124" s="32">
        <f t="shared" si="55"/>
        <v>0</v>
      </c>
      <c r="U124" s="32">
        <f t="shared" si="91"/>
        <v>0</v>
      </c>
      <c r="V124" s="32">
        <f t="shared" si="91"/>
        <v>0</v>
      </c>
      <c r="W124" s="32">
        <f t="shared" si="91"/>
        <v>0</v>
      </c>
      <c r="X124" s="32">
        <f t="shared" si="62"/>
        <v>0</v>
      </c>
      <c r="Y124" s="32"/>
      <c r="Z124" s="32">
        <f t="shared" si="91"/>
        <v>0</v>
      </c>
      <c r="AA124" s="32">
        <f t="shared" si="91"/>
        <v>0</v>
      </c>
      <c r="AB124" s="32">
        <f t="shared" si="91"/>
        <v>0</v>
      </c>
      <c r="AC124" s="32">
        <f t="shared" si="63"/>
        <v>0</v>
      </c>
      <c r="AD124" s="32"/>
      <c r="AE124" s="32">
        <f t="shared" si="91"/>
        <v>0</v>
      </c>
      <c r="AF124" s="32">
        <f t="shared" si="91"/>
        <v>0</v>
      </c>
      <c r="AG124" s="32">
        <f t="shared" si="91"/>
        <v>0</v>
      </c>
      <c r="AH124" s="32">
        <f t="shared" si="91"/>
        <v>0</v>
      </c>
      <c r="AI124" s="32">
        <f t="shared" si="91"/>
        <v>0</v>
      </c>
      <c r="AJ124" s="32">
        <f t="shared" si="90"/>
        <v>0</v>
      </c>
      <c r="AK124" s="7">
        <v>0</v>
      </c>
      <c r="AL124" s="32">
        <v>0</v>
      </c>
      <c r="AM124" s="32"/>
      <c r="AN124" s="4">
        <v>0</v>
      </c>
      <c r="AO124" s="32">
        <f t="shared" si="64"/>
        <v>0</v>
      </c>
      <c r="AP124" s="32">
        <f t="shared" si="65"/>
        <v>0</v>
      </c>
      <c r="AS124" s="32">
        <f t="shared" si="66"/>
        <v>0</v>
      </c>
      <c r="AT124" s="32">
        <f t="shared" si="56"/>
        <v>0</v>
      </c>
      <c r="AU124" s="32">
        <f t="shared" si="67"/>
        <v>0</v>
      </c>
      <c r="AV124" s="4">
        <f t="shared" si="68"/>
        <v>0</v>
      </c>
      <c r="AW124" s="32">
        <f t="shared" si="69"/>
        <v>0</v>
      </c>
      <c r="AX124" s="4">
        <f t="shared" si="70"/>
        <v>0</v>
      </c>
      <c r="AY124" s="32">
        <f t="shared" si="71"/>
        <v>0</v>
      </c>
      <c r="AZ124" s="4">
        <f t="shared" si="72"/>
        <v>0</v>
      </c>
      <c r="BA124" s="32">
        <f t="shared" si="73"/>
        <v>0</v>
      </c>
      <c r="BB124" s="32">
        <f t="shared" si="57"/>
        <v>0</v>
      </c>
      <c r="BC124" s="32">
        <f t="shared" si="74"/>
        <v>0</v>
      </c>
      <c r="BD124" s="32">
        <f t="shared" si="75"/>
        <v>0</v>
      </c>
      <c r="BF124" s="32">
        <f t="shared" si="76"/>
        <v>0</v>
      </c>
      <c r="BG124" s="32">
        <f t="shared" si="58"/>
        <v>0</v>
      </c>
      <c r="BH124" s="32">
        <f t="shared" si="77"/>
        <v>0</v>
      </c>
      <c r="BI124" s="4">
        <f t="shared" si="78"/>
        <v>0</v>
      </c>
      <c r="BJ124" s="32">
        <f t="shared" si="79"/>
        <v>0</v>
      </c>
      <c r="BK124" s="4">
        <f t="shared" si="80"/>
        <v>0</v>
      </c>
      <c r="BL124" s="32">
        <f t="shared" si="81"/>
        <v>0</v>
      </c>
      <c r="BM124" s="4">
        <f t="shared" si="82"/>
        <v>0</v>
      </c>
      <c r="BN124" s="32">
        <f t="shared" si="83"/>
        <v>0</v>
      </c>
      <c r="BO124" s="4">
        <f t="shared" si="84"/>
        <v>0</v>
      </c>
      <c r="BP124" s="32">
        <f t="shared" si="85"/>
        <v>0</v>
      </c>
      <c r="BQ124" s="32">
        <f t="shared" si="86"/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  <c r="DO124" s="4">
        <v>0</v>
      </c>
      <c r="DP124" s="4">
        <v>0</v>
      </c>
      <c r="DQ124" s="4">
        <v>0</v>
      </c>
    </row>
    <row r="125" spans="1:121" x14ac:dyDescent="0.35">
      <c r="A125" s="84">
        <f>'2017 Prop share of contribs'!A121</f>
        <v>116</v>
      </c>
      <c r="B125" s="84" t="str">
        <f>'2017 Prop share of contribs'!B121</f>
        <v xml:space="preserve">WAYNE COUNTY SCHOOLS  </v>
      </c>
      <c r="C125" s="25" t="s">
        <v>235</v>
      </c>
      <c r="D125" s="33">
        <f>ROUND('Employer Allocations'!G164,8)</f>
        <v>0</v>
      </c>
      <c r="E125" s="4">
        <f>ROUND('Employer Allocations'!H164,8)</f>
        <v>4.1219200000000003E-3</v>
      </c>
      <c r="F125" s="4">
        <f>ROUND('Employer Allocations'!I164,8)</f>
        <v>4.1219200000000003E-3</v>
      </c>
      <c r="G125" s="4">
        <v>0</v>
      </c>
      <c r="H125" s="4">
        <v>4.20506E-3</v>
      </c>
      <c r="I125" s="4">
        <v>4.20506E-3</v>
      </c>
      <c r="J125" s="7">
        <f t="shared" si="50"/>
        <v>0</v>
      </c>
      <c r="K125" s="7">
        <f t="shared" si="51"/>
        <v>111220713</v>
      </c>
      <c r="L125" s="7">
        <f t="shared" si="59"/>
        <v>111220713</v>
      </c>
      <c r="M125" s="7"/>
      <c r="N125" s="7">
        <f t="shared" si="52"/>
        <v>0</v>
      </c>
      <c r="O125" s="32">
        <f t="shared" si="53"/>
        <v>0</v>
      </c>
      <c r="P125" s="32"/>
      <c r="Q125" s="32">
        <f t="shared" si="54"/>
        <v>7917209</v>
      </c>
      <c r="R125" s="32">
        <f t="shared" si="60"/>
        <v>7917209</v>
      </c>
      <c r="S125" s="32">
        <f t="shared" si="61"/>
        <v>0</v>
      </c>
      <c r="T125" s="32">
        <f t="shared" si="55"/>
        <v>0</v>
      </c>
      <c r="U125" s="32">
        <f t="shared" si="91"/>
        <v>0</v>
      </c>
      <c r="V125" s="32">
        <f t="shared" si="91"/>
        <v>0</v>
      </c>
      <c r="W125" s="32">
        <f t="shared" si="91"/>
        <v>0</v>
      </c>
      <c r="X125" s="32">
        <f t="shared" si="62"/>
        <v>0</v>
      </c>
      <c r="Y125" s="32"/>
      <c r="Z125" s="32">
        <f t="shared" si="91"/>
        <v>0</v>
      </c>
      <c r="AA125" s="32">
        <f t="shared" si="91"/>
        <v>0</v>
      </c>
      <c r="AB125" s="32">
        <f t="shared" si="91"/>
        <v>0</v>
      </c>
      <c r="AC125" s="32">
        <f t="shared" si="63"/>
        <v>0</v>
      </c>
      <c r="AD125" s="32"/>
      <c r="AE125" s="32">
        <f t="shared" si="91"/>
        <v>0</v>
      </c>
      <c r="AF125" s="32">
        <f t="shared" si="91"/>
        <v>0</v>
      </c>
      <c r="AG125" s="32">
        <f t="shared" si="91"/>
        <v>0</v>
      </c>
      <c r="AH125" s="32">
        <f t="shared" si="91"/>
        <v>0</v>
      </c>
      <c r="AI125" s="32">
        <f t="shared" si="91"/>
        <v>0</v>
      </c>
      <c r="AJ125" s="32">
        <f t="shared" si="90"/>
        <v>0</v>
      </c>
      <c r="AK125" s="7">
        <v>0</v>
      </c>
      <c r="AL125" s="32">
        <v>0</v>
      </c>
      <c r="AM125" s="32"/>
      <c r="AN125" s="4">
        <v>0</v>
      </c>
      <c r="AO125" s="32">
        <f t="shared" si="64"/>
        <v>0</v>
      </c>
      <c r="AP125" s="32">
        <f t="shared" si="65"/>
        <v>0</v>
      </c>
      <c r="AS125" s="32">
        <f t="shared" si="66"/>
        <v>0</v>
      </c>
      <c r="AT125" s="32">
        <f t="shared" si="56"/>
        <v>0</v>
      </c>
      <c r="AU125" s="32">
        <f t="shared" si="67"/>
        <v>0</v>
      </c>
      <c r="AV125" s="4">
        <f t="shared" si="68"/>
        <v>0</v>
      </c>
      <c r="AW125" s="32">
        <f t="shared" si="69"/>
        <v>0</v>
      </c>
      <c r="AX125" s="4">
        <f t="shared" si="70"/>
        <v>0</v>
      </c>
      <c r="AY125" s="32">
        <f t="shared" si="71"/>
        <v>0</v>
      </c>
      <c r="AZ125" s="4">
        <f t="shared" si="72"/>
        <v>0</v>
      </c>
      <c r="BA125" s="32">
        <f t="shared" si="73"/>
        <v>0</v>
      </c>
      <c r="BB125" s="32">
        <f t="shared" si="57"/>
        <v>0</v>
      </c>
      <c r="BC125" s="32">
        <f t="shared" si="74"/>
        <v>0</v>
      </c>
      <c r="BD125" s="32">
        <f t="shared" si="75"/>
        <v>0</v>
      </c>
      <c r="BF125" s="32">
        <f t="shared" si="76"/>
        <v>0</v>
      </c>
      <c r="BG125" s="32">
        <f t="shared" si="58"/>
        <v>0</v>
      </c>
      <c r="BH125" s="32">
        <f t="shared" si="77"/>
        <v>0</v>
      </c>
      <c r="BI125" s="4">
        <f t="shared" si="78"/>
        <v>0</v>
      </c>
      <c r="BJ125" s="32">
        <f t="shared" si="79"/>
        <v>0</v>
      </c>
      <c r="BK125" s="4">
        <f t="shared" si="80"/>
        <v>0</v>
      </c>
      <c r="BL125" s="32">
        <f t="shared" si="81"/>
        <v>0</v>
      </c>
      <c r="BM125" s="4">
        <f t="shared" si="82"/>
        <v>0</v>
      </c>
      <c r="BN125" s="32">
        <f t="shared" si="83"/>
        <v>0</v>
      </c>
      <c r="BO125" s="4">
        <f t="shared" si="84"/>
        <v>0</v>
      </c>
      <c r="BP125" s="32">
        <f t="shared" si="85"/>
        <v>0</v>
      </c>
      <c r="BQ125" s="32">
        <f t="shared" si="86"/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  <c r="DO125" s="4">
        <v>0</v>
      </c>
      <c r="DP125" s="4">
        <v>0</v>
      </c>
      <c r="DQ125" s="4">
        <v>0</v>
      </c>
    </row>
    <row r="126" spans="1:121" x14ac:dyDescent="0.35">
      <c r="A126" s="84">
        <f>'2017 Prop share of contribs'!A122</f>
        <v>117</v>
      </c>
      <c r="B126" s="84" t="str">
        <f>'2017 Prop share of contribs'!B122</f>
        <v xml:space="preserve">WEBSTER COUNTY SCHOOLS  </v>
      </c>
      <c r="C126" s="25" t="s">
        <v>236</v>
      </c>
      <c r="D126" s="33">
        <f>ROUND('Employer Allocations'!G165,8)</f>
        <v>0</v>
      </c>
      <c r="E126" s="4">
        <f>ROUND('Employer Allocations'!H165,8)</f>
        <v>2.6810599999999999E-3</v>
      </c>
      <c r="F126" s="4">
        <f>ROUND('Employer Allocations'!I165,8)</f>
        <v>2.6810599999999999E-3</v>
      </c>
      <c r="G126" s="4">
        <v>0</v>
      </c>
      <c r="H126" s="4">
        <v>2.6982600000000001E-3</v>
      </c>
      <c r="I126" s="4">
        <v>2.6982600000000001E-3</v>
      </c>
      <c r="J126" s="7">
        <f t="shared" si="50"/>
        <v>0</v>
      </c>
      <c r="K126" s="7">
        <f t="shared" si="51"/>
        <v>72342356</v>
      </c>
      <c r="L126" s="7">
        <f t="shared" si="59"/>
        <v>72342356</v>
      </c>
      <c r="M126" s="7"/>
      <c r="N126" s="7">
        <f t="shared" si="52"/>
        <v>0</v>
      </c>
      <c r="O126" s="32">
        <f t="shared" si="53"/>
        <v>0</v>
      </c>
      <c r="P126" s="32"/>
      <c r="Q126" s="32">
        <f t="shared" si="54"/>
        <v>5149667</v>
      </c>
      <c r="R126" s="32">
        <f t="shared" si="60"/>
        <v>5149667</v>
      </c>
      <c r="S126" s="32">
        <f t="shared" si="61"/>
        <v>0</v>
      </c>
      <c r="T126" s="32">
        <f t="shared" si="55"/>
        <v>0</v>
      </c>
      <c r="U126" s="32">
        <f t="shared" si="91"/>
        <v>0</v>
      </c>
      <c r="V126" s="32">
        <f t="shared" si="91"/>
        <v>0</v>
      </c>
      <c r="W126" s="32">
        <f t="shared" si="91"/>
        <v>0</v>
      </c>
      <c r="X126" s="32">
        <f t="shared" si="62"/>
        <v>0</v>
      </c>
      <c r="Y126" s="32"/>
      <c r="Z126" s="32">
        <f t="shared" si="91"/>
        <v>0</v>
      </c>
      <c r="AA126" s="32">
        <f t="shared" si="91"/>
        <v>0</v>
      </c>
      <c r="AB126" s="32">
        <f t="shared" si="91"/>
        <v>0</v>
      </c>
      <c r="AC126" s="32">
        <f t="shared" si="63"/>
        <v>0</v>
      </c>
      <c r="AD126" s="32"/>
      <c r="AE126" s="32">
        <f t="shared" si="91"/>
        <v>0</v>
      </c>
      <c r="AF126" s="32">
        <f t="shared" si="91"/>
        <v>0</v>
      </c>
      <c r="AG126" s="32">
        <f t="shared" si="91"/>
        <v>0</v>
      </c>
      <c r="AH126" s="32">
        <f t="shared" si="91"/>
        <v>0</v>
      </c>
      <c r="AI126" s="32">
        <f t="shared" si="91"/>
        <v>0</v>
      </c>
      <c r="AJ126" s="32">
        <f t="shared" si="91"/>
        <v>0</v>
      </c>
      <c r="AK126" s="7">
        <v>0</v>
      </c>
      <c r="AL126" s="32">
        <v>0</v>
      </c>
      <c r="AM126" s="32"/>
      <c r="AN126" s="4">
        <v>0</v>
      </c>
      <c r="AO126" s="32">
        <f t="shared" si="64"/>
        <v>0</v>
      </c>
      <c r="AP126" s="32">
        <f t="shared" si="65"/>
        <v>0</v>
      </c>
      <c r="AS126" s="32">
        <f t="shared" si="66"/>
        <v>0</v>
      </c>
      <c r="AT126" s="32">
        <f t="shared" si="56"/>
        <v>0</v>
      </c>
      <c r="AU126" s="32">
        <f t="shared" si="67"/>
        <v>0</v>
      </c>
      <c r="AV126" s="4">
        <f t="shared" si="68"/>
        <v>0</v>
      </c>
      <c r="AW126" s="32">
        <f t="shared" si="69"/>
        <v>0</v>
      </c>
      <c r="AX126" s="4">
        <f t="shared" si="70"/>
        <v>0</v>
      </c>
      <c r="AY126" s="32">
        <f t="shared" si="71"/>
        <v>0</v>
      </c>
      <c r="AZ126" s="4">
        <f t="shared" si="72"/>
        <v>0</v>
      </c>
      <c r="BA126" s="32">
        <f t="shared" si="73"/>
        <v>0</v>
      </c>
      <c r="BB126" s="32">
        <f t="shared" si="57"/>
        <v>0</v>
      </c>
      <c r="BC126" s="32">
        <f t="shared" si="74"/>
        <v>0</v>
      </c>
      <c r="BD126" s="32">
        <f t="shared" si="75"/>
        <v>0</v>
      </c>
      <c r="BF126" s="32">
        <f t="shared" si="76"/>
        <v>0</v>
      </c>
      <c r="BG126" s="32">
        <f t="shared" si="58"/>
        <v>0</v>
      </c>
      <c r="BH126" s="32">
        <f t="shared" si="77"/>
        <v>0</v>
      </c>
      <c r="BI126" s="4">
        <f t="shared" si="78"/>
        <v>0</v>
      </c>
      <c r="BJ126" s="32">
        <f t="shared" si="79"/>
        <v>0</v>
      </c>
      <c r="BK126" s="4">
        <f t="shared" si="80"/>
        <v>0</v>
      </c>
      <c r="BL126" s="32">
        <f t="shared" si="81"/>
        <v>0</v>
      </c>
      <c r="BM126" s="4">
        <f t="shared" si="82"/>
        <v>0</v>
      </c>
      <c r="BN126" s="32">
        <f t="shared" si="83"/>
        <v>0</v>
      </c>
      <c r="BO126" s="4">
        <f t="shared" si="84"/>
        <v>0</v>
      </c>
      <c r="BP126" s="32">
        <f t="shared" si="85"/>
        <v>0</v>
      </c>
      <c r="BQ126" s="32">
        <f t="shared" si="86"/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  <c r="DO126" s="4">
        <v>0</v>
      </c>
      <c r="DP126" s="4">
        <v>0</v>
      </c>
      <c r="DQ126" s="4">
        <v>0</v>
      </c>
    </row>
    <row r="127" spans="1:121" x14ac:dyDescent="0.35">
      <c r="A127" s="84">
        <f>'2017 Prop share of contribs'!A123</f>
        <v>118</v>
      </c>
      <c r="B127" s="84" t="str">
        <f>'2017 Prop share of contribs'!B123</f>
        <v xml:space="preserve">WHITLEY COUNTY SCHOOLS  </v>
      </c>
      <c r="C127" s="25" t="s">
        <v>237</v>
      </c>
      <c r="D127" s="33">
        <f>ROUND('Employer Allocations'!G166,8)</f>
        <v>0</v>
      </c>
      <c r="E127" s="4">
        <f>ROUND('Employer Allocations'!H166,8)</f>
        <v>5.7843199999999999E-3</v>
      </c>
      <c r="F127" s="4">
        <f>ROUND('Employer Allocations'!I166,8)</f>
        <v>5.7843199999999999E-3</v>
      </c>
      <c r="G127" s="4">
        <v>0</v>
      </c>
      <c r="H127" s="4">
        <v>5.9173400000000001E-3</v>
      </c>
      <c r="I127" s="4">
        <v>5.9173400000000001E-3</v>
      </c>
      <c r="J127" s="7">
        <f t="shared" si="50"/>
        <v>0</v>
      </c>
      <c r="K127" s="7">
        <f t="shared" si="51"/>
        <v>156076827</v>
      </c>
      <c r="L127" s="7">
        <f t="shared" si="59"/>
        <v>156076827</v>
      </c>
      <c r="M127" s="7"/>
      <c r="N127" s="7">
        <f t="shared" si="52"/>
        <v>0</v>
      </c>
      <c r="O127" s="32">
        <f t="shared" si="53"/>
        <v>0</v>
      </c>
      <c r="P127" s="32"/>
      <c r="Q127" s="32">
        <f t="shared" si="54"/>
        <v>11110277</v>
      </c>
      <c r="R127" s="32">
        <f t="shared" si="60"/>
        <v>11110277</v>
      </c>
      <c r="S127" s="32">
        <f t="shared" si="61"/>
        <v>0</v>
      </c>
      <c r="T127" s="32">
        <f t="shared" si="55"/>
        <v>0</v>
      </c>
      <c r="U127" s="32">
        <f t="shared" si="91"/>
        <v>0</v>
      </c>
      <c r="V127" s="32">
        <f t="shared" si="91"/>
        <v>0</v>
      </c>
      <c r="W127" s="32">
        <f t="shared" si="91"/>
        <v>0</v>
      </c>
      <c r="X127" s="32">
        <f t="shared" si="62"/>
        <v>0</v>
      </c>
      <c r="Y127" s="32"/>
      <c r="Z127" s="32">
        <f t="shared" si="91"/>
        <v>0</v>
      </c>
      <c r="AA127" s="32">
        <f t="shared" si="91"/>
        <v>0</v>
      </c>
      <c r="AB127" s="32">
        <f t="shared" si="91"/>
        <v>0</v>
      </c>
      <c r="AC127" s="32">
        <f t="shared" si="63"/>
        <v>0</v>
      </c>
      <c r="AD127" s="32"/>
      <c r="AE127" s="32">
        <f t="shared" si="91"/>
        <v>0</v>
      </c>
      <c r="AF127" s="32">
        <f t="shared" si="91"/>
        <v>0</v>
      </c>
      <c r="AG127" s="32">
        <f t="shared" si="91"/>
        <v>0</v>
      </c>
      <c r="AH127" s="32">
        <f t="shared" si="91"/>
        <v>0</v>
      </c>
      <c r="AI127" s="32">
        <f t="shared" si="91"/>
        <v>0</v>
      </c>
      <c r="AJ127" s="32">
        <f t="shared" si="91"/>
        <v>0</v>
      </c>
      <c r="AK127" s="7">
        <v>0</v>
      </c>
      <c r="AL127" s="32">
        <v>0</v>
      </c>
      <c r="AM127" s="32"/>
      <c r="AN127" s="4">
        <v>0</v>
      </c>
      <c r="AO127" s="32">
        <f t="shared" si="64"/>
        <v>0</v>
      </c>
      <c r="AP127" s="32">
        <f t="shared" si="65"/>
        <v>0</v>
      </c>
      <c r="AS127" s="32">
        <f t="shared" si="66"/>
        <v>0</v>
      </c>
      <c r="AT127" s="32">
        <f t="shared" si="56"/>
        <v>0</v>
      </c>
      <c r="AU127" s="32">
        <f t="shared" si="67"/>
        <v>0</v>
      </c>
      <c r="AV127" s="4">
        <f t="shared" si="68"/>
        <v>0</v>
      </c>
      <c r="AW127" s="32">
        <f t="shared" si="69"/>
        <v>0</v>
      </c>
      <c r="AX127" s="4">
        <f t="shared" si="70"/>
        <v>0</v>
      </c>
      <c r="AY127" s="32">
        <f t="shared" si="71"/>
        <v>0</v>
      </c>
      <c r="AZ127" s="4">
        <f t="shared" si="72"/>
        <v>0</v>
      </c>
      <c r="BA127" s="32">
        <f t="shared" si="73"/>
        <v>0</v>
      </c>
      <c r="BB127" s="32">
        <f t="shared" si="57"/>
        <v>0</v>
      </c>
      <c r="BC127" s="32">
        <f t="shared" si="74"/>
        <v>0</v>
      </c>
      <c r="BD127" s="32">
        <f t="shared" si="75"/>
        <v>0</v>
      </c>
      <c r="BF127" s="32">
        <f t="shared" si="76"/>
        <v>0</v>
      </c>
      <c r="BG127" s="32">
        <f t="shared" si="58"/>
        <v>0</v>
      </c>
      <c r="BH127" s="32">
        <f t="shared" si="77"/>
        <v>0</v>
      </c>
      <c r="BI127" s="4">
        <f t="shared" si="78"/>
        <v>0</v>
      </c>
      <c r="BJ127" s="32">
        <f t="shared" si="79"/>
        <v>0</v>
      </c>
      <c r="BK127" s="4">
        <f t="shared" si="80"/>
        <v>0</v>
      </c>
      <c r="BL127" s="32">
        <f t="shared" si="81"/>
        <v>0</v>
      </c>
      <c r="BM127" s="4">
        <f t="shared" si="82"/>
        <v>0</v>
      </c>
      <c r="BN127" s="32">
        <f t="shared" si="83"/>
        <v>0</v>
      </c>
      <c r="BO127" s="4">
        <f t="shared" si="84"/>
        <v>0</v>
      </c>
      <c r="BP127" s="32">
        <f t="shared" si="85"/>
        <v>0</v>
      </c>
      <c r="BQ127" s="32">
        <f t="shared" si="86"/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  <c r="DO127" s="4">
        <v>0</v>
      </c>
      <c r="DP127" s="4">
        <v>0</v>
      </c>
      <c r="DQ127" s="4">
        <v>0</v>
      </c>
    </row>
    <row r="128" spans="1:121" x14ac:dyDescent="0.35">
      <c r="A128" s="84">
        <f>'2017 Prop share of contribs'!A124</f>
        <v>119</v>
      </c>
      <c r="B128" s="84" t="str">
        <f>'2017 Prop share of contribs'!B124</f>
        <v xml:space="preserve">WOLFE COUNTY SCHOOLS  </v>
      </c>
      <c r="C128" s="25" t="s">
        <v>238</v>
      </c>
      <c r="D128" s="33">
        <f>ROUND('Employer Allocations'!G167,8)</f>
        <v>0</v>
      </c>
      <c r="E128" s="4">
        <f>ROUND('Employer Allocations'!H167,8)</f>
        <v>2.0834999999999998E-3</v>
      </c>
      <c r="F128" s="4">
        <f>ROUND('Employer Allocations'!I167,8)</f>
        <v>2.0834999999999998E-3</v>
      </c>
      <c r="G128" s="4">
        <v>0</v>
      </c>
      <c r="H128" s="4">
        <v>1.9673199999999998E-3</v>
      </c>
      <c r="I128" s="4">
        <v>1.9673199999999998E-3</v>
      </c>
      <c r="J128" s="7">
        <f t="shared" si="50"/>
        <v>0</v>
      </c>
      <c r="K128" s="7">
        <f t="shared" si="51"/>
        <v>56218548</v>
      </c>
      <c r="L128" s="7">
        <f t="shared" si="59"/>
        <v>56218548</v>
      </c>
      <c r="M128" s="7"/>
      <c r="N128" s="7">
        <f t="shared" si="52"/>
        <v>0</v>
      </c>
      <c r="O128" s="32">
        <f t="shared" si="53"/>
        <v>0</v>
      </c>
      <c r="P128" s="32"/>
      <c r="Q128" s="32">
        <f t="shared" si="54"/>
        <v>4001899</v>
      </c>
      <c r="R128" s="32">
        <f t="shared" si="60"/>
        <v>4001899</v>
      </c>
      <c r="S128" s="32">
        <f t="shared" si="61"/>
        <v>0</v>
      </c>
      <c r="T128" s="32">
        <f t="shared" si="55"/>
        <v>0</v>
      </c>
      <c r="U128" s="32">
        <f t="shared" si="91"/>
        <v>0</v>
      </c>
      <c r="V128" s="32">
        <f t="shared" si="91"/>
        <v>0</v>
      </c>
      <c r="W128" s="32">
        <f t="shared" si="91"/>
        <v>0</v>
      </c>
      <c r="X128" s="32">
        <f t="shared" si="62"/>
        <v>0</v>
      </c>
      <c r="Y128" s="32"/>
      <c r="Z128" s="32">
        <f t="shared" si="91"/>
        <v>0</v>
      </c>
      <c r="AA128" s="32">
        <f t="shared" si="91"/>
        <v>0</v>
      </c>
      <c r="AB128" s="32">
        <f t="shared" si="91"/>
        <v>0</v>
      </c>
      <c r="AC128" s="32">
        <f t="shared" si="63"/>
        <v>0</v>
      </c>
      <c r="AD128" s="32"/>
      <c r="AE128" s="32">
        <f t="shared" si="91"/>
        <v>0</v>
      </c>
      <c r="AF128" s="32">
        <f t="shared" si="91"/>
        <v>0</v>
      </c>
      <c r="AG128" s="32">
        <f t="shared" si="91"/>
        <v>0</v>
      </c>
      <c r="AH128" s="32">
        <f t="shared" si="91"/>
        <v>0</v>
      </c>
      <c r="AI128" s="32">
        <f t="shared" si="91"/>
        <v>0</v>
      </c>
      <c r="AJ128" s="32">
        <f t="shared" si="91"/>
        <v>0</v>
      </c>
      <c r="AK128" s="7">
        <v>0</v>
      </c>
      <c r="AL128" s="32">
        <v>0</v>
      </c>
      <c r="AM128" s="32"/>
      <c r="AN128" s="4">
        <v>0</v>
      </c>
      <c r="AO128" s="32">
        <f t="shared" si="64"/>
        <v>0</v>
      </c>
      <c r="AP128" s="32">
        <f t="shared" si="65"/>
        <v>0</v>
      </c>
      <c r="AS128" s="32">
        <f t="shared" si="66"/>
        <v>0</v>
      </c>
      <c r="AT128" s="32">
        <f t="shared" si="56"/>
        <v>0</v>
      </c>
      <c r="AU128" s="32">
        <f t="shared" si="67"/>
        <v>0</v>
      </c>
      <c r="AV128" s="4">
        <f t="shared" si="68"/>
        <v>0</v>
      </c>
      <c r="AW128" s="32">
        <f t="shared" si="69"/>
        <v>0</v>
      </c>
      <c r="AX128" s="4">
        <f t="shared" si="70"/>
        <v>0</v>
      </c>
      <c r="AY128" s="32">
        <f t="shared" si="71"/>
        <v>0</v>
      </c>
      <c r="AZ128" s="4">
        <f t="shared" si="72"/>
        <v>0</v>
      </c>
      <c r="BA128" s="32">
        <f t="shared" si="73"/>
        <v>0</v>
      </c>
      <c r="BB128" s="32">
        <f t="shared" si="57"/>
        <v>0</v>
      </c>
      <c r="BC128" s="32">
        <f t="shared" si="74"/>
        <v>0</v>
      </c>
      <c r="BD128" s="32">
        <f t="shared" si="75"/>
        <v>0</v>
      </c>
      <c r="BF128" s="32">
        <f t="shared" si="76"/>
        <v>0</v>
      </c>
      <c r="BG128" s="32">
        <f t="shared" si="58"/>
        <v>0</v>
      </c>
      <c r="BH128" s="32">
        <f t="shared" si="77"/>
        <v>0</v>
      </c>
      <c r="BI128" s="4">
        <f t="shared" si="78"/>
        <v>0</v>
      </c>
      <c r="BJ128" s="32">
        <f t="shared" si="79"/>
        <v>0</v>
      </c>
      <c r="BK128" s="4">
        <f t="shared" si="80"/>
        <v>0</v>
      </c>
      <c r="BL128" s="32">
        <f t="shared" si="81"/>
        <v>0</v>
      </c>
      <c r="BM128" s="4">
        <f t="shared" si="82"/>
        <v>0</v>
      </c>
      <c r="BN128" s="32">
        <f t="shared" si="83"/>
        <v>0</v>
      </c>
      <c r="BO128" s="4">
        <f t="shared" si="84"/>
        <v>0</v>
      </c>
      <c r="BP128" s="32">
        <f t="shared" si="85"/>
        <v>0</v>
      </c>
      <c r="BQ128" s="32">
        <f t="shared" si="86"/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  <c r="DO128" s="4">
        <v>0</v>
      </c>
      <c r="DP128" s="4">
        <v>0</v>
      </c>
      <c r="DQ128" s="4">
        <v>0</v>
      </c>
    </row>
    <row r="129" spans="1:121" x14ac:dyDescent="0.35">
      <c r="A129" s="84">
        <f>'2017 Prop share of contribs'!A125</f>
        <v>120</v>
      </c>
      <c r="B129" s="84" t="str">
        <f>'2017 Prop share of contribs'!B125</f>
        <v xml:space="preserve">WOODFORD COUNTY SCHOOLS  </v>
      </c>
      <c r="C129" s="25" t="s">
        <v>239</v>
      </c>
      <c r="D129" s="33">
        <f>ROUND('Employer Allocations'!G168,8)</f>
        <v>0</v>
      </c>
      <c r="E129" s="4">
        <f>ROUND('Employer Allocations'!H168,8)</f>
        <v>5.3179100000000003E-3</v>
      </c>
      <c r="F129" s="4">
        <f>ROUND('Employer Allocations'!I168,8)</f>
        <v>5.3179100000000003E-3</v>
      </c>
      <c r="G129" s="4">
        <v>0</v>
      </c>
      <c r="H129" s="4">
        <v>5.2488400000000003E-3</v>
      </c>
      <c r="I129" s="4">
        <v>5.2488400000000003E-3</v>
      </c>
      <c r="J129" s="7">
        <f t="shared" si="50"/>
        <v>0</v>
      </c>
      <c r="K129" s="7">
        <f t="shared" si="51"/>
        <v>143491805</v>
      </c>
      <c r="L129" s="7">
        <f t="shared" si="59"/>
        <v>143491805</v>
      </c>
      <c r="M129" s="7"/>
      <c r="N129" s="7">
        <f t="shared" si="52"/>
        <v>0</v>
      </c>
      <c r="O129" s="32">
        <f t="shared" si="53"/>
        <v>0</v>
      </c>
      <c r="P129" s="32"/>
      <c r="Q129" s="32">
        <f t="shared" si="54"/>
        <v>10214416</v>
      </c>
      <c r="R129" s="32">
        <f t="shared" si="60"/>
        <v>10214416</v>
      </c>
      <c r="S129" s="32">
        <f t="shared" si="61"/>
        <v>0</v>
      </c>
      <c r="T129" s="32">
        <f t="shared" si="55"/>
        <v>0</v>
      </c>
      <c r="U129" s="32">
        <f t="shared" si="91"/>
        <v>0</v>
      </c>
      <c r="V129" s="32">
        <f t="shared" si="91"/>
        <v>0</v>
      </c>
      <c r="W129" s="32">
        <f t="shared" si="91"/>
        <v>0</v>
      </c>
      <c r="X129" s="32">
        <f t="shared" si="62"/>
        <v>0</v>
      </c>
      <c r="Y129" s="32"/>
      <c r="Z129" s="32">
        <f t="shared" si="91"/>
        <v>0</v>
      </c>
      <c r="AA129" s="32">
        <f t="shared" si="91"/>
        <v>0</v>
      </c>
      <c r="AB129" s="32">
        <f t="shared" si="91"/>
        <v>0</v>
      </c>
      <c r="AC129" s="32">
        <f t="shared" si="63"/>
        <v>0</v>
      </c>
      <c r="AD129" s="32"/>
      <c r="AE129" s="32">
        <f t="shared" si="91"/>
        <v>0</v>
      </c>
      <c r="AF129" s="32">
        <f t="shared" si="91"/>
        <v>0</v>
      </c>
      <c r="AG129" s="32">
        <f t="shared" si="91"/>
        <v>0</v>
      </c>
      <c r="AH129" s="32">
        <f t="shared" si="91"/>
        <v>0</v>
      </c>
      <c r="AI129" s="32">
        <f t="shared" si="91"/>
        <v>0</v>
      </c>
      <c r="AJ129" s="32">
        <f t="shared" si="91"/>
        <v>0</v>
      </c>
      <c r="AK129" s="7">
        <v>0</v>
      </c>
      <c r="AL129" s="32">
        <v>0</v>
      </c>
      <c r="AM129" s="32"/>
      <c r="AN129" s="4">
        <v>0</v>
      </c>
      <c r="AO129" s="32">
        <f t="shared" si="64"/>
        <v>0</v>
      </c>
      <c r="AP129" s="32">
        <f t="shared" si="65"/>
        <v>0</v>
      </c>
      <c r="AS129" s="32">
        <f t="shared" si="66"/>
        <v>0</v>
      </c>
      <c r="AT129" s="32">
        <f t="shared" si="56"/>
        <v>0</v>
      </c>
      <c r="AU129" s="32">
        <f t="shared" si="67"/>
        <v>0</v>
      </c>
      <c r="AV129" s="4">
        <f t="shared" si="68"/>
        <v>0</v>
      </c>
      <c r="AW129" s="32">
        <f t="shared" si="69"/>
        <v>0</v>
      </c>
      <c r="AX129" s="4">
        <f t="shared" si="70"/>
        <v>0</v>
      </c>
      <c r="AY129" s="32">
        <f t="shared" si="71"/>
        <v>0</v>
      </c>
      <c r="AZ129" s="4">
        <f t="shared" si="72"/>
        <v>0</v>
      </c>
      <c r="BA129" s="32">
        <f t="shared" si="73"/>
        <v>0</v>
      </c>
      <c r="BB129" s="32">
        <f t="shared" si="57"/>
        <v>0</v>
      </c>
      <c r="BC129" s="32">
        <f t="shared" si="74"/>
        <v>0</v>
      </c>
      <c r="BD129" s="32">
        <f t="shared" si="75"/>
        <v>0</v>
      </c>
      <c r="BF129" s="32">
        <f t="shared" si="76"/>
        <v>0</v>
      </c>
      <c r="BG129" s="32">
        <f t="shared" si="58"/>
        <v>0</v>
      </c>
      <c r="BH129" s="32">
        <f t="shared" si="77"/>
        <v>0</v>
      </c>
      <c r="BI129" s="4">
        <f t="shared" si="78"/>
        <v>0</v>
      </c>
      <c r="BJ129" s="32">
        <f t="shared" si="79"/>
        <v>0</v>
      </c>
      <c r="BK129" s="4">
        <f t="shared" si="80"/>
        <v>0</v>
      </c>
      <c r="BL129" s="32">
        <f t="shared" si="81"/>
        <v>0</v>
      </c>
      <c r="BM129" s="4">
        <f t="shared" si="82"/>
        <v>0</v>
      </c>
      <c r="BN129" s="32">
        <f t="shared" si="83"/>
        <v>0</v>
      </c>
      <c r="BO129" s="4">
        <f t="shared" si="84"/>
        <v>0</v>
      </c>
      <c r="BP129" s="32">
        <f t="shared" si="85"/>
        <v>0</v>
      </c>
      <c r="BQ129" s="32">
        <f t="shared" si="86"/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  <c r="DO129" s="4">
        <v>0</v>
      </c>
      <c r="DP129" s="4">
        <v>0</v>
      </c>
      <c r="DQ129" s="4">
        <v>0</v>
      </c>
    </row>
    <row r="130" spans="1:121" x14ac:dyDescent="0.35">
      <c r="A130" s="84">
        <f>'2017 Prop share of contribs'!A126</f>
        <v>122</v>
      </c>
      <c r="B130" s="84" t="str">
        <f>'2017 Prop share of contribs'!B126</f>
        <v xml:space="preserve">ANCHORAGE CITY SCHOOLS  </v>
      </c>
      <c r="C130" s="25" t="s">
        <v>240</v>
      </c>
      <c r="D130" s="33">
        <f>ROUND('Employer Allocations'!G169,8)</f>
        <v>0</v>
      </c>
      <c r="E130" s="4">
        <f>ROUND('Employer Allocations'!H169,8)</f>
        <v>1.0554099999999999E-3</v>
      </c>
      <c r="F130" s="4">
        <f>ROUND('Employer Allocations'!I169,8)</f>
        <v>1.0554099999999999E-3</v>
      </c>
      <c r="G130" s="4">
        <v>0</v>
      </c>
      <c r="H130" s="4">
        <v>1.0734900000000001E-3</v>
      </c>
      <c r="I130" s="4">
        <v>1.0734900000000001E-3</v>
      </c>
      <c r="J130" s="7">
        <f t="shared" si="50"/>
        <v>0</v>
      </c>
      <c r="K130" s="7">
        <f t="shared" si="51"/>
        <v>28477858</v>
      </c>
      <c r="L130" s="7">
        <f t="shared" si="59"/>
        <v>28477858</v>
      </c>
      <c r="M130" s="7"/>
      <c r="N130" s="7">
        <f t="shared" si="52"/>
        <v>0</v>
      </c>
      <c r="O130" s="32">
        <f t="shared" si="53"/>
        <v>0</v>
      </c>
      <c r="P130" s="32"/>
      <c r="Q130" s="32">
        <f t="shared" si="54"/>
        <v>2027187</v>
      </c>
      <c r="R130" s="32">
        <f t="shared" si="60"/>
        <v>2027187</v>
      </c>
      <c r="S130" s="32">
        <f t="shared" si="61"/>
        <v>0</v>
      </c>
      <c r="T130" s="32">
        <f t="shared" si="55"/>
        <v>0</v>
      </c>
      <c r="U130" s="32">
        <f t="shared" ref="U130:AJ145" si="92">ROUND(U$2*$D130,0)</f>
        <v>0</v>
      </c>
      <c r="V130" s="32">
        <f t="shared" si="92"/>
        <v>0</v>
      </c>
      <c r="W130" s="32">
        <f t="shared" si="92"/>
        <v>0</v>
      </c>
      <c r="X130" s="32">
        <f t="shared" si="62"/>
        <v>0</v>
      </c>
      <c r="Y130" s="32"/>
      <c r="Z130" s="32">
        <f t="shared" si="92"/>
        <v>0</v>
      </c>
      <c r="AA130" s="32">
        <f t="shared" si="92"/>
        <v>0</v>
      </c>
      <c r="AB130" s="32">
        <f t="shared" si="92"/>
        <v>0</v>
      </c>
      <c r="AC130" s="32">
        <f t="shared" si="63"/>
        <v>0</v>
      </c>
      <c r="AD130" s="32"/>
      <c r="AE130" s="32">
        <f t="shared" si="92"/>
        <v>0</v>
      </c>
      <c r="AF130" s="32">
        <f t="shared" si="92"/>
        <v>0</v>
      </c>
      <c r="AG130" s="32">
        <f t="shared" si="92"/>
        <v>0</v>
      </c>
      <c r="AH130" s="32">
        <f t="shared" si="92"/>
        <v>0</v>
      </c>
      <c r="AI130" s="32">
        <f t="shared" si="92"/>
        <v>0</v>
      </c>
      <c r="AJ130" s="32">
        <f t="shared" si="91"/>
        <v>0</v>
      </c>
      <c r="AK130" s="7">
        <v>0</v>
      </c>
      <c r="AL130" s="32">
        <v>0</v>
      </c>
      <c r="AM130" s="32"/>
      <c r="AN130" s="4">
        <v>0</v>
      </c>
      <c r="AO130" s="32">
        <f t="shared" si="64"/>
        <v>0</v>
      </c>
      <c r="AP130" s="32">
        <f t="shared" si="65"/>
        <v>0</v>
      </c>
      <c r="AS130" s="32">
        <f t="shared" si="66"/>
        <v>0</v>
      </c>
      <c r="AT130" s="32">
        <f t="shared" si="56"/>
        <v>0</v>
      </c>
      <c r="AU130" s="32">
        <f t="shared" si="67"/>
        <v>0</v>
      </c>
      <c r="AV130" s="4">
        <f t="shared" si="68"/>
        <v>0</v>
      </c>
      <c r="AW130" s="32">
        <f t="shared" si="69"/>
        <v>0</v>
      </c>
      <c r="AX130" s="4">
        <f t="shared" si="70"/>
        <v>0</v>
      </c>
      <c r="AY130" s="32">
        <f t="shared" si="71"/>
        <v>0</v>
      </c>
      <c r="AZ130" s="4">
        <f t="shared" si="72"/>
        <v>0</v>
      </c>
      <c r="BA130" s="32">
        <f t="shared" si="73"/>
        <v>0</v>
      </c>
      <c r="BB130" s="32">
        <f t="shared" si="57"/>
        <v>0</v>
      </c>
      <c r="BC130" s="32">
        <f t="shared" si="74"/>
        <v>0</v>
      </c>
      <c r="BD130" s="32">
        <f t="shared" si="75"/>
        <v>0</v>
      </c>
      <c r="BF130" s="32">
        <f t="shared" si="76"/>
        <v>0</v>
      </c>
      <c r="BG130" s="32">
        <f t="shared" si="58"/>
        <v>0</v>
      </c>
      <c r="BH130" s="32">
        <f t="shared" si="77"/>
        <v>0</v>
      </c>
      <c r="BI130" s="4">
        <f t="shared" si="78"/>
        <v>0</v>
      </c>
      <c r="BJ130" s="32">
        <f t="shared" si="79"/>
        <v>0</v>
      </c>
      <c r="BK130" s="4">
        <f t="shared" si="80"/>
        <v>0</v>
      </c>
      <c r="BL130" s="32">
        <f t="shared" si="81"/>
        <v>0</v>
      </c>
      <c r="BM130" s="4">
        <f t="shared" si="82"/>
        <v>0</v>
      </c>
      <c r="BN130" s="32">
        <f t="shared" si="83"/>
        <v>0</v>
      </c>
      <c r="BO130" s="4">
        <f t="shared" si="84"/>
        <v>0</v>
      </c>
      <c r="BP130" s="32">
        <f t="shared" si="85"/>
        <v>0</v>
      </c>
      <c r="BQ130" s="32">
        <f t="shared" si="86"/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0</v>
      </c>
      <c r="DP130" s="4">
        <v>0</v>
      </c>
      <c r="DQ130" s="4">
        <v>0</v>
      </c>
    </row>
    <row r="131" spans="1:121" x14ac:dyDescent="0.35">
      <c r="A131" s="84">
        <f>'2017 Prop share of contribs'!A127</f>
        <v>124</v>
      </c>
      <c r="B131" s="84" t="str">
        <f>'2017 Prop share of contribs'!B127</f>
        <v xml:space="preserve">ASHLAND CITY SCHOOLS  </v>
      </c>
      <c r="C131" s="25" t="s">
        <v>241</v>
      </c>
      <c r="D131" s="33">
        <f>ROUND('Employer Allocations'!G170,8)</f>
        <v>0</v>
      </c>
      <c r="E131" s="4">
        <f>ROUND('Employer Allocations'!H170,8)</f>
        <v>4.3346499999999998E-3</v>
      </c>
      <c r="F131" s="4">
        <f>ROUND('Employer Allocations'!I170,8)</f>
        <v>4.3346499999999998E-3</v>
      </c>
      <c r="G131" s="4">
        <v>0</v>
      </c>
      <c r="H131" s="4">
        <v>4.4015599999999997E-3</v>
      </c>
      <c r="I131" s="4">
        <v>4.4015599999999997E-3</v>
      </c>
      <c r="J131" s="7">
        <f t="shared" si="50"/>
        <v>0</v>
      </c>
      <c r="K131" s="7">
        <f t="shared" si="51"/>
        <v>116960752</v>
      </c>
      <c r="L131" s="7">
        <f t="shared" si="59"/>
        <v>116960752</v>
      </c>
      <c r="M131" s="7"/>
      <c r="N131" s="7">
        <f t="shared" si="52"/>
        <v>0</v>
      </c>
      <c r="O131" s="32">
        <f t="shared" si="53"/>
        <v>0</v>
      </c>
      <c r="P131" s="32"/>
      <c r="Q131" s="32">
        <f t="shared" si="54"/>
        <v>8325812</v>
      </c>
      <c r="R131" s="32">
        <f t="shared" si="60"/>
        <v>8325812</v>
      </c>
      <c r="S131" s="32">
        <f t="shared" si="61"/>
        <v>0</v>
      </c>
      <c r="T131" s="32">
        <f t="shared" si="55"/>
        <v>0</v>
      </c>
      <c r="U131" s="32">
        <f t="shared" si="92"/>
        <v>0</v>
      </c>
      <c r="V131" s="32">
        <f t="shared" si="92"/>
        <v>0</v>
      </c>
      <c r="W131" s="32">
        <f t="shared" si="92"/>
        <v>0</v>
      </c>
      <c r="X131" s="32">
        <f t="shared" si="62"/>
        <v>0</v>
      </c>
      <c r="Y131" s="32"/>
      <c r="Z131" s="32">
        <f t="shared" si="92"/>
        <v>0</v>
      </c>
      <c r="AA131" s="32">
        <f t="shared" si="92"/>
        <v>0</v>
      </c>
      <c r="AB131" s="32">
        <f t="shared" si="92"/>
        <v>0</v>
      </c>
      <c r="AC131" s="32">
        <f t="shared" si="63"/>
        <v>0</v>
      </c>
      <c r="AD131" s="32"/>
      <c r="AE131" s="32">
        <f t="shared" si="92"/>
        <v>0</v>
      </c>
      <c r="AF131" s="32">
        <f t="shared" si="92"/>
        <v>0</v>
      </c>
      <c r="AG131" s="32">
        <f t="shared" si="92"/>
        <v>0</v>
      </c>
      <c r="AH131" s="32">
        <f t="shared" si="92"/>
        <v>0</v>
      </c>
      <c r="AI131" s="32">
        <f t="shared" si="92"/>
        <v>0</v>
      </c>
      <c r="AJ131" s="32">
        <f t="shared" si="91"/>
        <v>0</v>
      </c>
      <c r="AK131" s="7">
        <v>0</v>
      </c>
      <c r="AL131" s="32">
        <v>0</v>
      </c>
      <c r="AM131" s="32"/>
      <c r="AN131" s="4">
        <v>0</v>
      </c>
      <c r="AO131" s="32">
        <f t="shared" si="64"/>
        <v>0</v>
      </c>
      <c r="AP131" s="32">
        <f t="shared" si="65"/>
        <v>0</v>
      </c>
      <c r="AS131" s="32">
        <f t="shared" si="66"/>
        <v>0</v>
      </c>
      <c r="AT131" s="32">
        <f t="shared" si="56"/>
        <v>0</v>
      </c>
      <c r="AU131" s="32">
        <f t="shared" si="67"/>
        <v>0</v>
      </c>
      <c r="AV131" s="4">
        <f t="shared" si="68"/>
        <v>0</v>
      </c>
      <c r="AW131" s="32">
        <f t="shared" si="69"/>
        <v>0</v>
      </c>
      <c r="AX131" s="4">
        <f t="shared" si="70"/>
        <v>0</v>
      </c>
      <c r="AY131" s="32">
        <f t="shared" si="71"/>
        <v>0</v>
      </c>
      <c r="AZ131" s="4">
        <f t="shared" si="72"/>
        <v>0</v>
      </c>
      <c r="BA131" s="32">
        <f t="shared" si="73"/>
        <v>0</v>
      </c>
      <c r="BB131" s="32">
        <f t="shared" si="57"/>
        <v>0</v>
      </c>
      <c r="BC131" s="32">
        <f t="shared" si="74"/>
        <v>0</v>
      </c>
      <c r="BD131" s="32">
        <f t="shared" si="75"/>
        <v>0</v>
      </c>
      <c r="BF131" s="32">
        <f t="shared" si="76"/>
        <v>0</v>
      </c>
      <c r="BG131" s="32">
        <f t="shared" si="58"/>
        <v>0</v>
      </c>
      <c r="BH131" s="32">
        <f t="shared" si="77"/>
        <v>0</v>
      </c>
      <c r="BI131" s="4">
        <f t="shared" si="78"/>
        <v>0</v>
      </c>
      <c r="BJ131" s="32">
        <f t="shared" si="79"/>
        <v>0</v>
      </c>
      <c r="BK131" s="4">
        <f t="shared" si="80"/>
        <v>0</v>
      </c>
      <c r="BL131" s="32">
        <f t="shared" si="81"/>
        <v>0</v>
      </c>
      <c r="BM131" s="4">
        <f t="shared" si="82"/>
        <v>0</v>
      </c>
      <c r="BN131" s="32">
        <f t="shared" si="83"/>
        <v>0</v>
      </c>
      <c r="BO131" s="4">
        <f t="shared" si="84"/>
        <v>0</v>
      </c>
      <c r="BP131" s="32">
        <f t="shared" si="85"/>
        <v>0</v>
      </c>
      <c r="BQ131" s="32">
        <f t="shared" si="86"/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  <c r="DO131" s="4">
        <v>0</v>
      </c>
      <c r="DP131" s="4">
        <v>0</v>
      </c>
      <c r="DQ131" s="4">
        <v>0</v>
      </c>
    </row>
    <row r="132" spans="1:121" x14ac:dyDescent="0.35">
      <c r="A132" s="84">
        <f>'2017 Prop share of contribs'!A128</f>
        <v>125</v>
      </c>
      <c r="B132" s="84" t="str">
        <f>'2017 Prop share of contribs'!B128</f>
        <v xml:space="preserve">AUGUSTA CITY SCHOOLS  </v>
      </c>
      <c r="C132" s="25" t="s">
        <v>242</v>
      </c>
      <c r="D132" s="33">
        <f>ROUND('Employer Allocations'!G171,8)</f>
        <v>0</v>
      </c>
      <c r="E132" s="4">
        <f>ROUND('Employer Allocations'!H171,8)</f>
        <v>4.2212E-4</v>
      </c>
      <c r="F132" s="4">
        <f>ROUND('Employer Allocations'!I171,8)</f>
        <v>4.2212E-4</v>
      </c>
      <c r="G132" s="4">
        <v>0</v>
      </c>
      <c r="H132" s="4">
        <v>4.3706000000000002E-4</v>
      </c>
      <c r="I132" s="4">
        <v>4.3706000000000002E-4</v>
      </c>
      <c r="J132" s="7">
        <f t="shared" si="50"/>
        <v>0</v>
      </c>
      <c r="K132" s="7">
        <f t="shared" si="51"/>
        <v>11389956</v>
      </c>
      <c r="L132" s="7">
        <f t="shared" si="59"/>
        <v>11389956</v>
      </c>
      <c r="M132" s="7"/>
      <c r="N132" s="7">
        <f t="shared" si="52"/>
        <v>0</v>
      </c>
      <c r="O132" s="32">
        <f t="shared" si="53"/>
        <v>0</v>
      </c>
      <c r="P132" s="32"/>
      <c r="Q132" s="32">
        <f t="shared" si="54"/>
        <v>810790</v>
      </c>
      <c r="R132" s="32">
        <f t="shared" si="60"/>
        <v>810790</v>
      </c>
      <c r="S132" s="32">
        <f t="shared" si="61"/>
        <v>0</v>
      </c>
      <c r="T132" s="32">
        <f t="shared" si="55"/>
        <v>0</v>
      </c>
      <c r="U132" s="32">
        <f t="shared" si="92"/>
        <v>0</v>
      </c>
      <c r="V132" s="32">
        <f t="shared" si="92"/>
        <v>0</v>
      </c>
      <c r="W132" s="32">
        <f t="shared" si="92"/>
        <v>0</v>
      </c>
      <c r="X132" s="32">
        <f t="shared" si="62"/>
        <v>0</v>
      </c>
      <c r="Y132" s="32"/>
      <c r="Z132" s="32">
        <f t="shared" si="92"/>
        <v>0</v>
      </c>
      <c r="AA132" s="32">
        <f t="shared" si="92"/>
        <v>0</v>
      </c>
      <c r="AB132" s="32">
        <f t="shared" si="92"/>
        <v>0</v>
      </c>
      <c r="AC132" s="32">
        <f t="shared" si="63"/>
        <v>0</v>
      </c>
      <c r="AD132" s="32"/>
      <c r="AE132" s="32">
        <f t="shared" si="92"/>
        <v>0</v>
      </c>
      <c r="AF132" s="32">
        <f t="shared" si="92"/>
        <v>0</v>
      </c>
      <c r="AG132" s="32">
        <f t="shared" si="92"/>
        <v>0</v>
      </c>
      <c r="AH132" s="32">
        <f t="shared" si="92"/>
        <v>0</v>
      </c>
      <c r="AI132" s="32">
        <f t="shared" si="92"/>
        <v>0</v>
      </c>
      <c r="AJ132" s="32">
        <f t="shared" si="91"/>
        <v>0</v>
      </c>
      <c r="AK132" s="7">
        <v>0</v>
      </c>
      <c r="AL132" s="32">
        <v>0</v>
      </c>
      <c r="AM132" s="32"/>
      <c r="AN132" s="4">
        <v>0</v>
      </c>
      <c r="AO132" s="32">
        <f t="shared" si="64"/>
        <v>0</v>
      </c>
      <c r="AP132" s="32">
        <f t="shared" si="65"/>
        <v>0</v>
      </c>
      <c r="AS132" s="32">
        <f t="shared" si="66"/>
        <v>0</v>
      </c>
      <c r="AT132" s="32">
        <f t="shared" si="56"/>
        <v>0</v>
      </c>
      <c r="AU132" s="32">
        <f t="shared" si="67"/>
        <v>0</v>
      </c>
      <c r="AV132" s="4">
        <f t="shared" si="68"/>
        <v>0</v>
      </c>
      <c r="AW132" s="32">
        <f t="shared" si="69"/>
        <v>0</v>
      </c>
      <c r="AX132" s="4">
        <f t="shared" si="70"/>
        <v>0</v>
      </c>
      <c r="AY132" s="32">
        <f t="shared" si="71"/>
        <v>0</v>
      </c>
      <c r="AZ132" s="4">
        <f t="shared" si="72"/>
        <v>0</v>
      </c>
      <c r="BA132" s="32">
        <f t="shared" si="73"/>
        <v>0</v>
      </c>
      <c r="BB132" s="32">
        <f t="shared" si="57"/>
        <v>0</v>
      </c>
      <c r="BC132" s="32">
        <f t="shared" si="74"/>
        <v>0</v>
      </c>
      <c r="BD132" s="32">
        <f t="shared" si="75"/>
        <v>0</v>
      </c>
      <c r="BF132" s="32">
        <f t="shared" si="76"/>
        <v>0</v>
      </c>
      <c r="BG132" s="32">
        <f t="shared" si="58"/>
        <v>0</v>
      </c>
      <c r="BH132" s="32">
        <f t="shared" si="77"/>
        <v>0</v>
      </c>
      <c r="BI132" s="4">
        <f t="shared" si="78"/>
        <v>0</v>
      </c>
      <c r="BJ132" s="32">
        <f t="shared" si="79"/>
        <v>0</v>
      </c>
      <c r="BK132" s="4">
        <f t="shared" si="80"/>
        <v>0</v>
      </c>
      <c r="BL132" s="32">
        <f t="shared" si="81"/>
        <v>0</v>
      </c>
      <c r="BM132" s="4">
        <f t="shared" si="82"/>
        <v>0</v>
      </c>
      <c r="BN132" s="32">
        <f t="shared" si="83"/>
        <v>0</v>
      </c>
      <c r="BO132" s="4">
        <f t="shared" si="84"/>
        <v>0</v>
      </c>
      <c r="BP132" s="32">
        <f t="shared" si="85"/>
        <v>0</v>
      </c>
      <c r="BQ132" s="32">
        <f t="shared" si="86"/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  <c r="DO132" s="4">
        <v>0</v>
      </c>
      <c r="DP132" s="4">
        <v>0</v>
      </c>
      <c r="DQ132" s="4">
        <v>0</v>
      </c>
    </row>
    <row r="133" spans="1:121" x14ac:dyDescent="0.35">
      <c r="A133" s="84">
        <f>'2017 Prop share of contribs'!A129</f>
        <v>126</v>
      </c>
      <c r="B133" s="84" t="str">
        <f>'2017 Prop share of contribs'!B129</f>
        <v xml:space="preserve">BARBOURVILLE CITY SCHOOLS  </v>
      </c>
      <c r="C133" s="25" t="s">
        <v>243</v>
      </c>
      <c r="D133" s="33">
        <f>ROUND('Employer Allocations'!G172,8)</f>
        <v>0</v>
      </c>
      <c r="E133" s="4">
        <f>ROUND('Employer Allocations'!H172,8)</f>
        <v>8.5614000000000003E-4</v>
      </c>
      <c r="F133" s="4">
        <f>ROUND('Employer Allocations'!I172,8)</f>
        <v>8.5614000000000003E-4</v>
      </c>
      <c r="G133" s="4">
        <v>0</v>
      </c>
      <c r="H133" s="4">
        <v>8.1747000000000005E-4</v>
      </c>
      <c r="I133" s="4">
        <v>8.1747000000000005E-4</v>
      </c>
      <c r="J133" s="7">
        <f t="shared" si="50"/>
        <v>0</v>
      </c>
      <c r="K133" s="7">
        <f t="shared" si="51"/>
        <v>23101007</v>
      </c>
      <c r="L133" s="7">
        <f t="shared" si="59"/>
        <v>23101007</v>
      </c>
      <c r="M133" s="7"/>
      <c r="N133" s="7">
        <f t="shared" si="52"/>
        <v>0</v>
      </c>
      <c r="O133" s="32">
        <f t="shared" si="53"/>
        <v>0</v>
      </c>
      <c r="P133" s="32"/>
      <c r="Q133" s="32">
        <f t="shared" si="54"/>
        <v>1644437</v>
      </c>
      <c r="R133" s="32">
        <f t="shared" si="60"/>
        <v>1644437</v>
      </c>
      <c r="S133" s="32">
        <f t="shared" si="61"/>
        <v>0</v>
      </c>
      <c r="T133" s="32">
        <f t="shared" si="55"/>
        <v>0</v>
      </c>
      <c r="U133" s="32">
        <f t="shared" si="92"/>
        <v>0</v>
      </c>
      <c r="V133" s="32">
        <f t="shared" si="92"/>
        <v>0</v>
      </c>
      <c r="W133" s="32">
        <f t="shared" si="92"/>
        <v>0</v>
      </c>
      <c r="X133" s="32">
        <f t="shared" si="62"/>
        <v>0</v>
      </c>
      <c r="Y133" s="32"/>
      <c r="Z133" s="32">
        <f t="shared" si="92"/>
        <v>0</v>
      </c>
      <c r="AA133" s="32">
        <f t="shared" si="92"/>
        <v>0</v>
      </c>
      <c r="AB133" s="32">
        <f t="shared" si="92"/>
        <v>0</v>
      </c>
      <c r="AC133" s="32">
        <f t="shared" si="63"/>
        <v>0</v>
      </c>
      <c r="AD133" s="32"/>
      <c r="AE133" s="32">
        <f t="shared" si="92"/>
        <v>0</v>
      </c>
      <c r="AF133" s="32">
        <f t="shared" si="92"/>
        <v>0</v>
      </c>
      <c r="AG133" s="32">
        <f t="shared" si="92"/>
        <v>0</v>
      </c>
      <c r="AH133" s="32">
        <f t="shared" si="92"/>
        <v>0</v>
      </c>
      <c r="AI133" s="32">
        <f t="shared" si="92"/>
        <v>0</v>
      </c>
      <c r="AJ133" s="32">
        <f t="shared" si="91"/>
        <v>0</v>
      </c>
      <c r="AK133" s="7">
        <v>0</v>
      </c>
      <c r="AL133" s="32">
        <v>0</v>
      </c>
      <c r="AM133" s="32"/>
      <c r="AN133" s="4">
        <v>0</v>
      </c>
      <c r="AO133" s="32">
        <f t="shared" si="64"/>
        <v>0</v>
      </c>
      <c r="AP133" s="32">
        <f t="shared" si="65"/>
        <v>0</v>
      </c>
      <c r="AS133" s="32">
        <f t="shared" si="66"/>
        <v>0</v>
      </c>
      <c r="AT133" s="32">
        <f t="shared" si="56"/>
        <v>0</v>
      </c>
      <c r="AU133" s="32">
        <f t="shared" si="67"/>
        <v>0</v>
      </c>
      <c r="AV133" s="4">
        <f t="shared" si="68"/>
        <v>0</v>
      </c>
      <c r="AW133" s="32">
        <f t="shared" si="69"/>
        <v>0</v>
      </c>
      <c r="AX133" s="4">
        <f t="shared" si="70"/>
        <v>0</v>
      </c>
      <c r="AY133" s="32">
        <f t="shared" si="71"/>
        <v>0</v>
      </c>
      <c r="AZ133" s="4">
        <f t="shared" si="72"/>
        <v>0</v>
      </c>
      <c r="BA133" s="32">
        <f t="shared" si="73"/>
        <v>0</v>
      </c>
      <c r="BB133" s="32">
        <f t="shared" si="57"/>
        <v>0</v>
      </c>
      <c r="BC133" s="32">
        <f t="shared" si="74"/>
        <v>0</v>
      </c>
      <c r="BD133" s="32">
        <f t="shared" si="75"/>
        <v>0</v>
      </c>
      <c r="BF133" s="32">
        <f t="shared" si="76"/>
        <v>0</v>
      </c>
      <c r="BG133" s="32">
        <f t="shared" si="58"/>
        <v>0</v>
      </c>
      <c r="BH133" s="32">
        <f t="shared" si="77"/>
        <v>0</v>
      </c>
      <c r="BI133" s="4">
        <f t="shared" si="78"/>
        <v>0</v>
      </c>
      <c r="BJ133" s="32">
        <f t="shared" si="79"/>
        <v>0</v>
      </c>
      <c r="BK133" s="4">
        <f t="shared" si="80"/>
        <v>0</v>
      </c>
      <c r="BL133" s="32">
        <f t="shared" si="81"/>
        <v>0</v>
      </c>
      <c r="BM133" s="4">
        <f t="shared" si="82"/>
        <v>0</v>
      </c>
      <c r="BN133" s="32">
        <f t="shared" si="83"/>
        <v>0</v>
      </c>
      <c r="BO133" s="4">
        <f t="shared" si="84"/>
        <v>0</v>
      </c>
      <c r="BP133" s="32">
        <f t="shared" si="85"/>
        <v>0</v>
      </c>
      <c r="BQ133" s="32">
        <f t="shared" si="86"/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  <c r="DO133" s="4">
        <v>0</v>
      </c>
      <c r="DP133" s="4">
        <v>0</v>
      </c>
      <c r="DQ133" s="4">
        <v>0</v>
      </c>
    </row>
    <row r="134" spans="1:121" x14ac:dyDescent="0.35">
      <c r="A134" s="84">
        <f>'2017 Prop share of contribs'!A130</f>
        <v>127</v>
      </c>
      <c r="B134" s="84" t="str">
        <f>'2017 Prop share of contribs'!B130</f>
        <v xml:space="preserve">BARDSTOWN CITY SCHOOLS  </v>
      </c>
      <c r="C134" s="25" t="s">
        <v>244</v>
      </c>
      <c r="D134" s="33">
        <f>ROUND('Employer Allocations'!G173,8)</f>
        <v>0</v>
      </c>
      <c r="E134" s="4">
        <f>ROUND('Employer Allocations'!H173,8)</f>
        <v>4.1037299999999999E-3</v>
      </c>
      <c r="F134" s="4">
        <f>ROUND('Employer Allocations'!I173,8)</f>
        <v>4.1037299999999999E-3</v>
      </c>
      <c r="G134" s="4">
        <v>0</v>
      </c>
      <c r="H134" s="4">
        <v>4.0272700000000003E-3</v>
      </c>
      <c r="I134" s="4">
        <v>4.0272700000000003E-3</v>
      </c>
      <c r="J134" s="7">
        <f t="shared" si="50"/>
        <v>0</v>
      </c>
      <c r="K134" s="7">
        <f t="shared" si="51"/>
        <v>110729897</v>
      </c>
      <c r="L134" s="7">
        <f t="shared" si="59"/>
        <v>110729897</v>
      </c>
      <c r="M134" s="7"/>
      <c r="N134" s="7">
        <f t="shared" si="52"/>
        <v>0</v>
      </c>
      <c r="O134" s="32">
        <f t="shared" si="53"/>
        <v>0</v>
      </c>
      <c r="P134" s="32"/>
      <c r="Q134" s="32">
        <f t="shared" si="54"/>
        <v>7882271</v>
      </c>
      <c r="R134" s="32">
        <f t="shared" si="60"/>
        <v>7882271</v>
      </c>
      <c r="S134" s="32">
        <f t="shared" si="61"/>
        <v>0</v>
      </c>
      <c r="T134" s="32">
        <f t="shared" si="55"/>
        <v>0</v>
      </c>
      <c r="U134" s="32">
        <f t="shared" si="92"/>
        <v>0</v>
      </c>
      <c r="V134" s="32">
        <f t="shared" si="92"/>
        <v>0</v>
      </c>
      <c r="W134" s="32">
        <f t="shared" si="92"/>
        <v>0</v>
      </c>
      <c r="X134" s="32">
        <f t="shared" si="62"/>
        <v>0</v>
      </c>
      <c r="Y134" s="32"/>
      <c r="Z134" s="32">
        <f t="shared" si="92"/>
        <v>0</v>
      </c>
      <c r="AA134" s="32">
        <f t="shared" si="92"/>
        <v>0</v>
      </c>
      <c r="AB134" s="32">
        <f t="shared" si="92"/>
        <v>0</v>
      </c>
      <c r="AC134" s="32">
        <f t="shared" si="63"/>
        <v>0</v>
      </c>
      <c r="AD134" s="32"/>
      <c r="AE134" s="32">
        <f t="shared" si="92"/>
        <v>0</v>
      </c>
      <c r="AF134" s="32">
        <f t="shared" si="92"/>
        <v>0</v>
      </c>
      <c r="AG134" s="32">
        <f t="shared" si="92"/>
        <v>0</v>
      </c>
      <c r="AH134" s="32">
        <f t="shared" si="92"/>
        <v>0</v>
      </c>
      <c r="AI134" s="32">
        <f t="shared" si="92"/>
        <v>0</v>
      </c>
      <c r="AJ134" s="32">
        <f t="shared" si="91"/>
        <v>0</v>
      </c>
      <c r="AK134" s="7">
        <v>0</v>
      </c>
      <c r="AL134" s="32">
        <v>0</v>
      </c>
      <c r="AM134" s="32"/>
      <c r="AN134" s="4">
        <v>0</v>
      </c>
      <c r="AO134" s="32">
        <f t="shared" si="64"/>
        <v>0</v>
      </c>
      <c r="AP134" s="32">
        <f t="shared" si="65"/>
        <v>0</v>
      </c>
      <c r="AS134" s="32">
        <f t="shared" si="66"/>
        <v>0</v>
      </c>
      <c r="AT134" s="32">
        <f t="shared" si="56"/>
        <v>0</v>
      </c>
      <c r="AU134" s="32">
        <f t="shared" si="67"/>
        <v>0</v>
      </c>
      <c r="AV134" s="4">
        <f t="shared" si="68"/>
        <v>0</v>
      </c>
      <c r="AW134" s="32">
        <f t="shared" si="69"/>
        <v>0</v>
      </c>
      <c r="AX134" s="4">
        <f t="shared" si="70"/>
        <v>0</v>
      </c>
      <c r="AY134" s="32">
        <f t="shared" si="71"/>
        <v>0</v>
      </c>
      <c r="AZ134" s="4">
        <f t="shared" si="72"/>
        <v>0</v>
      </c>
      <c r="BA134" s="32">
        <f t="shared" si="73"/>
        <v>0</v>
      </c>
      <c r="BB134" s="32">
        <f t="shared" si="57"/>
        <v>0</v>
      </c>
      <c r="BC134" s="32">
        <f t="shared" si="74"/>
        <v>0</v>
      </c>
      <c r="BD134" s="32">
        <f t="shared" si="75"/>
        <v>0</v>
      </c>
      <c r="BF134" s="32">
        <f t="shared" si="76"/>
        <v>0</v>
      </c>
      <c r="BG134" s="32">
        <f t="shared" si="58"/>
        <v>0</v>
      </c>
      <c r="BH134" s="32">
        <f t="shared" si="77"/>
        <v>0</v>
      </c>
      <c r="BI134" s="4">
        <f t="shared" si="78"/>
        <v>0</v>
      </c>
      <c r="BJ134" s="32">
        <f t="shared" si="79"/>
        <v>0</v>
      </c>
      <c r="BK134" s="4">
        <f t="shared" si="80"/>
        <v>0</v>
      </c>
      <c r="BL134" s="32">
        <f t="shared" si="81"/>
        <v>0</v>
      </c>
      <c r="BM134" s="4">
        <f t="shared" si="82"/>
        <v>0</v>
      </c>
      <c r="BN134" s="32">
        <f t="shared" si="83"/>
        <v>0</v>
      </c>
      <c r="BO134" s="4">
        <f t="shared" si="84"/>
        <v>0</v>
      </c>
      <c r="BP134" s="32">
        <f t="shared" si="85"/>
        <v>0</v>
      </c>
      <c r="BQ134" s="32">
        <f t="shared" si="86"/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  <c r="DO134" s="4">
        <v>0</v>
      </c>
      <c r="DP134" s="4">
        <v>0</v>
      </c>
      <c r="DQ134" s="4">
        <v>0</v>
      </c>
    </row>
    <row r="135" spans="1:121" x14ac:dyDescent="0.35">
      <c r="A135" s="84">
        <f>'2017 Prop share of contribs'!A131</f>
        <v>128</v>
      </c>
      <c r="B135" s="84" t="str">
        <f>'2017 Prop share of contribs'!B131</f>
        <v xml:space="preserve">BEECHWOOD INDEPENDENT SCHOOLS  </v>
      </c>
      <c r="C135" s="25" t="s">
        <v>245</v>
      </c>
      <c r="D135" s="33">
        <f>ROUND('Employer Allocations'!G174,8)</f>
        <v>0</v>
      </c>
      <c r="E135" s="4">
        <f>ROUND('Employer Allocations'!H174,8)</f>
        <v>1.9954700000000001E-3</v>
      </c>
      <c r="F135" s="4">
        <f>ROUND('Employer Allocations'!I174,8)</f>
        <v>1.9954700000000001E-3</v>
      </c>
      <c r="G135" s="4">
        <v>0</v>
      </c>
      <c r="H135" s="4">
        <v>2.0225E-3</v>
      </c>
      <c r="I135" s="4">
        <v>2.0225E-3</v>
      </c>
      <c r="J135" s="7">
        <f t="shared" si="50"/>
        <v>0</v>
      </c>
      <c r="K135" s="7">
        <f t="shared" si="51"/>
        <v>53843257</v>
      </c>
      <c r="L135" s="7">
        <f t="shared" si="59"/>
        <v>53843257</v>
      </c>
      <c r="M135" s="7"/>
      <c r="N135" s="7">
        <f t="shared" si="52"/>
        <v>0</v>
      </c>
      <c r="O135" s="32">
        <f t="shared" si="53"/>
        <v>0</v>
      </c>
      <c r="P135" s="32"/>
      <c r="Q135" s="32">
        <f t="shared" si="54"/>
        <v>3832814</v>
      </c>
      <c r="R135" s="32">
        <f t="shared" si="60"/>
        <v>3832814</v>
      </c>
      <c r="S135" s="32">
        <f t="shared" si="61"/>
        <v>0</v>
      </c>
      <c r="T135" s="32">
        <f t="shared" si="55"/>
        <v>0</v>
      </c>
      <c r="U135" s="32">
        <f t="shared" si="92"/>
        <v>0</v>
      </c>
      <c r="V135" s="32">
        <f t="shared" si="92"/>
        <v>0</v>
      </c>
      <c r="W135" s="32">
        <f t="shared" si="92"/>
        <v>0</v>
      </c>
      <c r="X135" s="32">
        <f t="shared" si="62"/>
        <v>0</v>
      </c>
      <c r="Y135" s="32"/>
      <c r="Z135" s="32">
        <f t="shared" si="92"/>
        <v>0</v>
      </c>
      <c r="AA135" s="32">
        <f t="shared" si="92"/>
        <v>0</v>
      </c>
      <c r="AB135" s="32">
        <f t="shared" si="92"/>
        <v>0</v>
      </c>
      <c r="AC135" s="32">
        <f t="shared" si="63"/>
        <v>0</v>
      </c>
      <c r="AD135" s="32"/>
      <c r="AE135" s="32">
        <f t="shared" si="92"/>
        <v>0</v>
      </c>
      <c r="AF135" s="32">
        <f t="shared" si="92"/>
        <v>0</v>
      </c>
      <c r="AG135" s="32">
        <f t="shared" si="92"/>
        <v>0</v>
      </c>
      <c r="AH135" s="32">
        <f t="shared" si="92"/>
        <v>0</v>
      </c>
      <c r="AI135" s="32">
        <f t="shared" si="92"/>
        <v>0</v>
      </c>
      <c r="AJ135" s="32">
        <f t="shared" si="91"/>
        <v>0</v>
      </c>
      <c r="AK135" s="7">
        <v>0</v>
      </c>
      <c r="AL135" s="32">
        <v>0</v>
      </c>
      <c r="AM135" s="32"/>
      <c r="AN135" s="4">
        <v>0</v>
      </c>
      <c r="AO135" s="32">
        <f t="shared" si="64"/>
        <v>0</v>
      </c>
      <c r="AP135" s="32">
        <f t="shared" si="65"/>
        <v>0</v>
      </c>
      <c r="AS135" s="32">
        <f t="shared" si="66"/>
        <v>0</v>
      </c>
      <c r="AT135" s="32">
        <f t="shared" si="56"/>
        <v>0</v>
      </c>
      <c r="AU135" s="32">
        <f t="shared" si="67"/>
        <v>0</v>
      </c>
      <c r="AV135" s="4">
        <f t="shared" si="68"/>
        <v>0</v>
      </c>
      <c r="AW135" s="32">
        <f t="shared" si="69"/>
        <v>0</v>
      </c>
      <c r="AX135" s="4">
        <f t="shared" si="70"/>
        <v>0</v>
      </c>
      <c r="AY135" s="32">
        <f t="shared" si="71"/>
        <v>0</v>
      </c>
      <c r="AZ135" s="4">
        <f t="shared" si="72"/>
        <v>0</v>
      </c>
      <c r="BA135" s="32">
        <f t="shared" si="73"/>
        <v>0</v>
      </c>
      <c r="BB135" s="32">
        <f t="shared" si="57"/>
        <v>0</v>
      </c>
      <c r="BC135" s="32">
        <f t="shared" si="74"/>
        <v>0</v>
      </c>
      <c r="BD135" s="32">
        <f t="shared" si="75"/>
        <v>0</v>
      </c>
      <c r="BF135" s="32">
        <f t="shared" si="76"/>
        <v>0</v>
      </c>
      <c r="BG135" s="32">
        <f t="shared" si="58"/>
        <v>0</v>
      </c>
      <c r="BH135" s="32">
        <f t="shared" si="77"/>
        <v>0</v>
      </c>
      <c r="BI135" s="4">
        <f t="shared" si="78"/>
        <v>0</v>
      </c>
      <c r="BJ135" s="32">
        <f t="shared" si="79"/>
        <v>0</v>
      </c>
      <c r="BK135" s="4">
        <f t="shared" si="80"/>
        <v>0</v>
      </c>
      <c r="BL135" s="32">
        <f t="shared" si="81"/>
        <v>0</v>
      </c>
      <c r="BM135" s="4">
        <f t="shared" si="82"/>
        <v>0</v>
      </c>
      <c r="BN135" s="32">
        <f t="shared" si="83"/>
        <v>0</v>
      </c>
      <c r="BO135" s="4">
        <f t="shared" si="84"/>
        <v>0</v>
      </c>
      <c r="BP135" s="32">
        <f t="shared" si="85"/>
        <v>0</v>
      </c>
      <c r="BQ135" s="32">
        <f t="shared" si="86"/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  <c r="DO135" s="4">
        <v>0</v>
      </c>
      <c r="DP135" s="4">
        <v>0</v>
      </c>
      <c r="DQ135" s="4">
        <v>0</v>
      </c>
    </row>
    <row r="136" spans="1:121" x14ac:dyDescent="0.35">
      <c r="A136" s="84">
        <f>'2017 Prop share of contribs'!A132</f>
        <v>129</v>
      </c>
      <c r="B136" s="84" t="str">
        <f>'2017 Prop share of contribs'!B132</f>
        <v xml:space="preserve">BELLEVUE CITY SCHOOLS  </v>
      </c>
      <c r="C136" s="25" t="s">
        <v>246</v>
      </c>
      <c r="D136" s="33">
        <f>ROUND('Employer Allocations'!G175,8)</f>
        <v>0</v>
      </c>
      <c r="E136" s="4">
        <f>ROUND('Employer Allocations'!H175,8)</f>
        <v>1.2052899999999999E-3</v>
      </c>
      <c r="F136" s="4">
        <f>ROUND('Employer Allocations'!I175,8)</f>
        <v>1.2052899999999999E-3</v>
      </c>
      <c r="G136" s="4">
        <v>0</v>
      </c>
      <c r="H136" s="4">
        <v>1.18486E-3</v>
      </c>
      <c r="I136" s="4">
        <v>1.18486E-3</v>
      </c>
      <c r="J136" s="7">
        <f t="shared" si="50"/>
        <v>0</v>
      </c>
      <c r="K136" s="7">
        <f t="shared" si="51"/>
        <v>32522032</v>
      </c>
      <c r="L136" s="7">
        <f t="shared" si="59"/>
        <v>32522032</v>
      </c>
      <c r="M136" s="7"/>
      <c r="N136" s="7">
        <f t="shared" si="52"/>
        <v>0</v>
      </c>
      <c r="O136" s="32">
        <f t="shared" si="53"/>
        <v>0</v>
      </c>
      <c r="P136" s="32"/>
      <c r="Q136" s="32">
        <f t="shared" si="54"/>
        <v>2315070</v>
      </c>
      <c r="R136" s="32">
        <f t="shared" si="60"/>
        <v>2315070</v>
      </c>
      <c r="S136" s="32">
        <f t="shared" si="61"/>
        <v>0</v>
      </c>
      <c r="T136" s="32">
        <f t="shared" si="55"/>
        <v>0</v>
      </c>
      <c r="U136" s="32">
        <f t="shared" si="92"/>
        <v>0</v>
      </c>
      <c r="V136" s="32">
        <f t="shared" si="92"/>
        <v>0</v>
      </c>
      <c r="W136" s="32">
        <f t="shared" si="92"/>
        <v>0</v>
      </c>
      <c r="X136" s="32">
        <f t="shared" si="62"/>
        <v>0</v>
      </c>
      <c r="Y136" s="32"/>
      <c r="Z136" s="32">
        <f t="shared" si="92"/>
        <v>0</v>
      </c>
      <c r="AA136" s="32">
        <f t="shared" si="92"/>
        <v>0</v>
      </c>
      <c r="AB136" s="32">
        <f t="shared" si="92"/>
        <v>0</v>
      </c>
      <c r="AC136" s="32">
        <f t="shared" si="63"/>
        <v>0</v>
      </c>
      <c r="AD136" s="32"/>
      <c r="AE136" s="32">
        <f t="shared" si="92"/>
        <v>0</v>
      </c>
      <c r="AF136" s="32">
        <f t="shared" si="92"/>
        <v>0</v>
      </c>
      <c r="AG136" s="32">
        <f t="shared" si="92"/>
        <v>0</v>
      </c>
      <c r="AH136" s="32">
        <f t="shared" si="92"/>
        <v>0</v>
      </c>
      <c r="AI136" s="32">
        <f t="shared" si="92"/>
        <v>0</v>
      </c>
      <c r="AJ136" s="32">
        <f t="shared" si="92"/>
        <v>0</v>
      </c>
      <c r="AK136" s="7">
        <v>0</v>
      </c>
      <c r="AL136" s="32">
        <v>0</v>
      </c>
      <c r="AM136" s="32"/>
      <c r="AN136" s="4">
        <v>0</v>
      </c>
      <c r="AO136" s="32">
        <f t="shared" si="64"/>
        <v>0</v>
      </c>
      <c r="AP136" s="32">
        <f t="shared" si="65"/>
        <v>0</v>
      </c>
      <c r="AS136" s="32">
        <f t="shared" si="66"/>
        <v>0</v>
      </c>
      <c r="AT136" s="32">
        <f t="shared" si="56"/>
        <v>0</v>
      </c>
      <c r="AU136" s="32">
        <f t="shared" si="67"/>
        <v>0</v>
      </c>
      <c r="AV136" s="4">
        <f t="shared" si="68"/>
        <v>0</v>
      </c>
      <c r="AW136" s="32">
        <f t="shared" si="69"/>
        <v>0</v>
      </c>
      <c r="AX136" s="4">
        <f t="shared" si="70"/>
        <v>0</v>
      </c>
      <c r="AY136" s="32">
        <f t="shared" si="71"/>
        <v>0</v>
      </c>
      <c r="AZ136" s="4">
        <f t="shared" si="72"/>
        <v>0</v>
      </c>
      <c r="BA136" s="32">
        <f t="shared" si="73"/>
        <v>0</v>
      </c>
      <c r="BB136" s="32">
        <f t="shared" si="57"/>
        <v>0</v>
      </c>
      <c r="BC136" s="32">
        <f t="shared" si="74"/>
        <v>0</v>
      </c>
      <c r="BD136" s="32">
        <f t="shared" si="75"/>
        <v>0</v>
      </c>
      <c r="BF136" s="32">
        <f t="shared" si="76"/>
        <v>0</v>
      </c>
      <c r="BG136" s="32">
        <f t="shared" si="58"/>
        <v>0</v>
      </c>
      <c r="BH136" s="32">
        <f t="shared" si="77"/>
        <v>0</v>
      </c>
      <c r="BI136" s="4">
        <f t="shared" si="78"/>
        <v>0</v>
      </c>
      <c r="BJ136" s="32">
        <f t="shared" si="79"/>
        <v>0</v>
      </c>
      <c r="BK136" s="4">
        <f t="shared" si="80"/>
        <v>0</v>
      </c>
      <c r="BL136" s="32">
        <f t="shared" si="81"/>
        <v>0</v>
      </c>
      <c r="BM136" s="4">
        <f t="shared" si="82"/>
        <v>0</v>
      </c>
      <c r="BN136" s="32">
        <f t="shared" si="83"/>
        <v>0</v>
      </c>
      <c r="BO136" s="4">
        <f t="shared" si="84"/>
        <v>0</v>
      </c>
      <c r="BP136" s="32">
        <f t="shared" si="85"/>
        <v>0</v>
      </c>
      <c r="BQ136" s="32">
        <f t="shared" si="86"/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  <c r="DO136" s="4">
        <v>0</v>
      </c>
      <c r="DP136" s="4">
        <v>0</v>
      </c>
      <c r="DQ136" s="4">
        <v>0</v>
      </c>
    </row>
    <row r="137" spans="1:121" x14ac:dyDescent="0.35">
      <c r="A137" s="84">
        <f>'2017 Prop share of contribs'!A133</f>
        <v>131</v>
      </c>
      <c r="B137" s="84" t="str">
        <f>'2017 Prop share of contribs'!B133</f>
        <v xml:space="preserve">BEREA CITY SCHOOLS  </v>
      </c>
      <c r="C137" s="25" t="s">
        <v>247</v>
      </c>
      <c r="D137" s="33">
        <f>ROUND('Employer Allocations'!G176,8)</f>
        <v>0</v>
      </c>
      <c r="E137" s="4">
        <f>ROUND('Employer Allocations'!H176,8)</f>
        <v>1.5609199999999999E-3</v>
      </c>
      <c r="F137" s="4">
        <f>ROUND('Employer Allocations'!I176,8)</f>
        <v>1.5609199999999999E-3</v>
      </c>
      <c r="G137" s="4">
        <v>0</v>
      </c>
      <c r="H137" s="4">
        <v>1.5580699999999999E-3</v>
      </c>
      <c r="I137" s="4">
        <v>1.5580699999999999E-3</v>
      </c>
      <c r="J137" s="7">
        <f t="shared" si="50"/>
        <v>0</v>
      </c>
      <c r="K137" s="7">
        <f t="shared" si="51"/>
        <v>42117905</v>
      </c>
      <c r="L137" s="7">
        <f t="shared" si="59"/>
        <v>42117905</v>
      </c>
      <c r="M137" s="7"/>
      <c r="N137" s="7">
        <f t="shared" si="52"/>
        <v>0</v>
      </c>
      <c r="O137" s="32">
        <f t="shared" si="53"/>
        <v>0</v>
      </c>
      <c r="P137" s="32"/>
      <c r="Q137" s="32">
        <f t="shared" si="54"/>
        <v>2998149</v>
      </c>
      <c r="R137" s="32">
        <f t="shared" si="60"/>
        <v>2998149</v>
      </c>
      <c r="S137" s="32">
        <f t="shared" si="61"/>
        <v>0</v>
      </c>
      <c r="T137" s="32">
        <f t="shared" si="55"/>
        <v>0</v>
      </c>
      <c r="U137" s="32">
        <f t="shared" si="92"/>
        <v>0</v>
      </c>
      <c r="V137" s="32">
        <f t="shared" si="92"/>
        <v>0</v>
      </c>
      <c r="W137" s="32">
        <f t="shared" si="92"/>
        <v>0</v>
      </c>
      <c r="X137" s="32">
        <f t="shared" si="62"/>
        <v>0</v>
      </c>
      <c r="Y137" s="32"/>
      <c r="Z137" s="32">
        <f t="shared" si="92"/>
        <v>0</v>
      </c>
      <c r="AA137" s="32">
        <f t="shared" si="92"/>
        <v>0</v>
      </c>
      <c r="AB137" s="32">
        <f t="shared" si="92"/>
        <v>0</v>
      </c>
      <c r="AC137" s="32">
        <f t="shared" si="63"/>
        <v>0</v>
      </c>
      <c r="AD137" s="32"/>
      <c r="AE137" s="32">
        <f t="shared" si="92"/>
        <v>0</v>
      </c>
      <c r="AF137" s="32">
        <f t="shared" si="92"/>
        <v>0</v>
      </c>
      <c r="AG137" s="32">
        <f t="shared" si="92"/>
        <v>0</v>
      </c>
      <c r="AH137" s="32">
        <f t="shared" si="92"/>
        <v>0</v>
      </c>
      <c r="AI137" s="32">
        <f t="shared" si="92"/>
        <v>0</v>
      </c>
      <c r="AJ137" s="32">
        <f t="shared" si="92"/>
        <v>0</v>
      </c>
      <c r="AK137" s="7">
        <v>0</v>
      </c>
      <c r="AL137" s="32">
        <v>0</v>
      </c>
      <c r="AM137" s="32"/>
      <c r="AN137" s="4">
        <v>0</v>
      </c>
      <c r="AO137" s="32">
        <f t="shared" si="64"/>
        <v>0</v>
      </c>
      <c r="AP137" s="32">
        <f t="shared" si="65"/>
        <v>0</v>
      </c>
      <c r="AS137" s="32">
        <f t="shared" si="66"/>
        <v>0</v>
      </c>
      <c r="AT137" s="32">
        <f t="shared" si="56"/>
        <v>0</v>
      </c>
      <c r="AU137" s="32">
        <f t="shared" si="67"/>
        <v>0</v>
      </c>
      <c r="AV137" s="4">
        <f t="shared" si="68"/>
        <v>0</v>
      </c>
      <c r="AW137" s="32">
        <f t="shared" si="69"/>
        <v>0</v>
      </c>
      <c r="AX137" s="4">
        <f t="shared" si="70"/>
        <v>0</v>
      </c>
      <c r="AY137" s="32">
        <f t="shared" si="71"/>
        <v>0</v>
      </c>
      <c r="AZ137" s="4">
        <f t="shared" si="72"/>
        <v>0</v>
      </c>
      <c r="BA137" s="32">
        <f t="shared" si="73"/>
        <v>0</v>
      </c>
      <c r="BB137" s="32">
        <f t="shared" si="57"/>
        <v>0</v>
      </c>
      <c r="BC137" s="32">
        <f t="shared" si="74"/>
        <v>0</v>
      </c>
      <c r="BD137" s="32">
        <f t="shared" si="75"/>
        <v>0</v>
      </c>
      <c r="BF137" s="32">
        <f t="shared" si="76"/>
        <v>0</v>
      </c>
      <c r="BG137" s="32">
        <f t="shared" si="58"/>
        <v>0</v>
      </c>
      <c r="BH137" s="32">
        <f t="shared" si="77"/>
        <v>0</v>
      </c>
      <c r="BI137" s="4">
        <f t="shared" si="78"/>
        <v>0</v>
      </c>
      <c r="BJ137" s="32">
        <f t="shared" si="79"/>
        <v>0</v>
      </c>
      <c r="BK137" s="4">
        <f t="shared" si="80"/>
        <v>0</v>
      </c>
      <c r="BL137" s="32">
        <f t="shared" si="81"/>
        <v>0</v>
      </c>
      <c r="BM137" s="4">
        <f t="shared" si="82"/>
        <v>0</v>
      </c>
      <c r="BN137" s="32">
        <f t="shared" si="83"/>
        <v>0</v>
      </c>
      <c r="BO137" s="4">
        <f t="shared" si="84"/>
        <v>0</v>
      </c>
      <c r="BP137" s="32">
        <f t="shared" si="85"/>
        <v>0</v>
      </c>
      <c r="BQ137" s="32">
        <f t="shared" si="86"/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  <c r="DO137" s="4">
        <v>0</v>
      </c>
      <c r="DP137" s="4">
        <v>0</v>
      </c>
      <c r="DQ137" s="4">
        <v>0</v>
      </c>
    </row>
    <row r="138" spans="1:121" x14ac:dyDescent="0.35">
      <c r="A138" s="84">
        <f>'2017 Prop share of contribs'!A134</f>
        <v>134</v>
      </c>
      <c r="B138" s="84" t="str">
        <f>'2017 Prop share of contribs'!B134</f>
        <v xml:space="preserve">BOWLING GREEN CITY SCHOOLS  </v>
      </c>
      <c r="C138" s="25" t="s">
        <v>248</v>
      </c>
      <c r="D138" s="33">
        <f>ROUND('Employer Allocations'!G177,8)</f>
        <v>0</v>
      </c>
      <c r="E138" s="4">
        <f>ROUND('Employer Allocations'!H177,8)</f>
        <v>5.88494E-3</v>
      </c>
      <c r="F138" s="4">
        <f>ROUND('Employer Allocations'!I177,8)</f>
        <v>5.88494E-3</v>
      </c>
      <c r="G138" s="4">
        <v>0</v>
      </c>
      <c r="H138" s="4">
        <v>5.9351899999999999E-3</v>
      </c>
      <c r="I138" s="4">
        <v>5.9351899999999999E-3</v>
      </c>
      <c r="J138" s="7">
        <f t="shared" ref="J138:J201" si="93">ROUND($J$2*D138,0)</f>
        <v>0</v>
      </c>
      <c r="K138" s="7">
        <f t="shared" ref="K138:K201" si="94">ROUND($J$2*E138,0)</f>
        <v>158791831</v>
      </c>
      <c r="L138" s="7">
        <f t="shared" si="59"/>
        <v>158791831</v>
      </c>
      <c r="M138" s="7"/>
      <c r="N138" s="7">
        <f t="shared" ref="N138:N201" si="95">ROUND($N$2*D138,0)</f>
        <v>0</v>
      </c>
      <c r="O138" s="32">
        <f t="shared" ref="O138:O201" si="96">ROUND($O$2*D138,0)</f>
        <v>0</v>
      </c>
      <c r="P138" s="32"/>
      <c r="Q138" s="32">
        <f t="shared" ref="Q138:Q201" si="97">ROUND(Q$2*$F138,0)</f>
        <v>11303544</v>
      </c>
      <c r="R138" s="32">
        <f t="shared" si="60"/>
        <v>11303544</v>
      </c>
      <c r="S138" s="32">
        <f t="shared" si="61"/>
        <v>0</v>
      </c>
      <c r="T138" s="32">
        <f t="shared" ref="T138:T182" si="98">S138+AT138-BG138+BV138-CI138</f>
        <v>0</v>
      </c>
      <c r="U138" s="32">
        <f t="shared" si="92"/>
        <v>0</v>
      </c>
      <c r="V138" s="32">
        <f t="shared" si="92"/>
        <v>0</v>
      </c>
      <c r="W138" s="32">
        <f t="shared" si="92"/>
        <v>0</v>
      </c>
      <c r="X138" s="32">
        <f t="shared" si="62"/>
        <v>0</v>
      </c>
      <c r="Y138" s="32"/>
      <c r="Z138" s="32">
        <f t="shared" si="92"/>
        <v>0</v>
      </c>
      <c r="AA138" s="32">
        <f t="shared" si="92"/>
        <v>0</v>
      </c>
      <c r="AB138" s="32">
        <f t="shared" si="92"/>
        <v>0</v>
      </c>
      <c r="AC138" s="32">
        <f t="shared" si="63"/>
        <v>0</v>
      </c>
      <c r="AD138" s="32"/>
      <c r="AE138" s="32">
        <f t="shared" si="92"/>
        <v>0</v>
      </c>
      <c r="AF138" s="32">
        <f t="shared" si="92"/>
        <v>0</v>
      </c>
      <c r="AG138" s="32">
        <f t="shared" si="92"/>
        <v>0</v>
      </c>
      <c r="AH138" s="32">
        <f t="shared" si="92"/>
        <v>0</v>
      </c>
      <c r="AI138" s="32">
        <f t="shared" si="92"/>
        <v>0</v>
      </c>
      <c r="AJ138" s="32">
        <f t="shared" si="92"/>
        <v>0</v>
      </c>
      <c r="AK138" s="7">
        <v>0</v>
      </c>
      <c r="AL138" s="32">
        <v>0</v>
      </c>
      <c r="AM138" s="32"/>
      <c r="AN138" s="4">
        <v>0</v>
      </c>
      <c r="AO138" s="32">
        <f t="shared" si="64"/>
        <v>0</v>
      </c>
      <c r="AP138" s="32">
        <f t="shared" si="65"/>
        <v>0</v>
      </c>
      <c r="AS138" s="32">
        <f t="shared" si="66"/>
        <v>0</v>
      </c>
      <c r="AT138" s="32">
        <f t="shared" ref="AT138:AT201" si="99">ROUND(AS138/$K$2,0)</f>
        <v>0</v>
      </c>
      <c r="AU138" s="32">
        <f t="shared" si="67"/>
        <v>0</v>
      </c>
      <c r="AV138" s="4">
        <f t="shared" si="68"/>
        <v>0</v>
      </c>
      <c r="AW138" s="32">
        <f t="shared" si="69"/>
        <v>0</v>
      </c>
      <c r="AX138" s="4">
        <f t="shared" si="70"/>
        <v>0</v>
      </c>
      <c r="AY138" s="32">
        <f t="shared" si="71"/>
        <v>0</v>
      </c>
      <c r="AZ138" s="4">
        <f t="shared" si="72"/>
        <v>0</v>
      </c>
      <c r="BA138" s="32">
        <f t="shared" si="73"/>
        <v>0</v>
      </c>
      <c r="BB138" s="32">
        <f t="shared" ref="BB138:BB201" si="100">BA138</f>
        <v>0</v>
      </c>
      <c r="BC138" s="32">
        <f t="shared" si="74"/>
        <v>0</v>
      </c>
      <c r="BD138" s="32">
        <f t="shared" si="75"/>
        <v>0</v>
      </c>
      <c r="BF138" s="32">
        <f t="shared" si="76"/>
        <v>0</v>
      </c>
      <c r="BG138" s="32">
        <f t="shared" ref="BG138:BG201" si="101">ROUND(BF138/$K$2,0)</f>
        <v>0</v>
      </c>
      <c r="BH138" s="32">
        <f t="shared" si="77"/>
        <v>0</v>
      </c>
      <c r="BI138" s="4">
        <f t="shared" si="78"/>
        <v>0</v>
      </c>
      <c r="BJ138" s="32">
        <f t="shared" si="79"/>
        <v>0</v>
      </c>
      <c r="BK138" s="4">
        <f t="shared" si="80"/>
        <v>0</v>
      </c>
      <c r="BL138" s="32">
        <f t="shared" si="81"/>
        <v>0</v>
      </c>
      <c r="BM138" s="4">
        <f t="shared" si="82"/>
        <v>0</v>
      </c>
      <c r="BN138" s="32">
        <f t="shared" si="83"/>
        <v>0</v>
      </c>
      <c r="BO138" s="4">
        <f t="shared" si="84"/>
        <v>0</v>
      </c>
      <c r="BP138" s="32">
        <f t="shared" si="85"/>
        <v>0</v>
      </c>
      <c r="BQ138" s="32">
        <f t="shared" si="86"/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  <c r="DO138" s="4">
        <v>0</v>
      </c>
      <c r="DP138" s="4">
        <v>0</v>
      </c>
      <c r="DQ138" s="4">
        <v>0</v>
      </c>
    </row>
    <row r="139" spans="1:121" x14ac:dyDescent="0.35">
      <c r="A139" s="84">
        <f>'2017 Prop share of contribs'!A135</f>
        <v>136</v>
      </c>
      <c r="B139" s="84" t="str">
        <f>'2017 Prop share of contribs'!B135</f>
        <v xml:space="preserve">BURGIN CITY SCHOOLS  </v>
      </c>
      <c r="C139" s="25" t="s">
        <v>249</v>
      </c>
      <c r="D139" s="33">
        <f>ROUND('Employer Allocations'!G178,8)</f>
        <v>0</v>
      </c>
      <c r="E139" s="4">
        <f>ROUND('Employer Allocations'!H178,8)</f>
        <v>6.6713999999999999E-4</v>
      </c>
      <c r="F139" s="4">
        <f>ROUND('Employer Allocations'!I178,8)</f>
        <v>6.6713999999999999E-4</v>
      </c>
      <c r="G139" s="4">
        <v>0</v>
      </c>
      <c r="H139" s="4">
        <v>6.5477000000000005E-4</v>
      </c>
      <c r="I139" s="4">
        <v>6.5477000000000005E-4</v>
      </c>
      <c r="J139" s="7">
        <f t="shared" si="93"/>
        <v>0</v>
      </c>
      <c r="K139" s="7">
        <f t="shared" si="94"/>
        <v>18001268</v>
      </c>
      <c r="L139" s="7">
        <f t="shared" ref="L139:L182" si="102">J139+K139</f>
        <v>18001268</v>
      </c>
      <c r="M139" s="7"/>
      <c r="N139" s="7">
        <f t="shared" si="95"/>
        <v>0</v>
      </c>
      <c r="O139" s="32">
        <f t="shared" si="96"/>
        <v>0</v>
      </c>
      <c r="P139" s="32"/>
      <c r="Q139" s="32">
        <f t="shared" si="97"/>
        <v>1281414</v>
      </c>
      <c r="R139" s="32">
        <f t="shared" ref="R139:R202" si="103">ROUND(Q$2*$E139,0)</f>
        <v>1281414</v>
      </c>
      <c r="S139" s="32">
        <f t="shared" ref="S139:S182" si="104">Q139-R139</f>
        <v>0</v>
      </c>
      <c r="T139" s="32">
        <f t="shared" si="98"/>
        <v>0</v>
      </c>
      <c r="U139" s="32">
        <f t="shared" si="92"/>
        <v>0</v>
      </c>
      <c r="V139" s="32">
        <f t="shared" si="92"/>
        <v>0</v>
      </c>
      <c r="W139" s="32">
        <f t="shared" si="92"/>
        <v>0</v>
      </c>
      <c r="X139" s="32">
        <f t="shared" ref="X139:X182" si="105">AU139+BW139</f>
        <v>0</v>
      </c>
      <c r="Y139" s="32"/>
      <c r="Z139" s="32">
        <f t="shared" si="92"/>
        <v>0</v>
      </c>
      <c r="AA139" s="32">
        <f t="shared" si="92"/>
        <v>0</v>
      </c>
      <c r="AB139" s="32">
        <f t="shared" si="92"/>
        <v>0</v>
      </c>
      <c r="AC139" s="32">
        <f t="shared" ref="AC139:AC182" si="106">BH139+CJ139</f>
        <v>0</v>
      </c>
      <c r="AD139" s="32"/>
      <c r="AE139" s="32">
        <f t="shared" si="92"/>
        <v>0</v>
      </c>
      <c r="AF139" s="32">
        <f t="shared" si="92"/>
        <v>0</v>
      </c>
      <c r="AG139" s="32">
        <f t="shared" si="92"/>
        <v>0</v>
      </c>
      <c r="AH139" s="32">
        <f t="shared" si="92"/>
        <v>0</v>
      </c>
      <c r="AI139" s="32">
        <f t="shared" si="92"/>
        <v>0</v>
      </c>
      <c r="AJ139" s="32">
        <f t="shared" si="92"/>
        <v>0</v>
      </c>
      <c r="AK139" s="7">
        <v>0</v>
      </c>
      <c r="AL139" s="32">
        <v>0</v>
      </c>
      <c r="AM139" s="32"/>
      <c r="AN139" s="4">
        <v>0</v>
      </c>
      <c r="AO139" s="32">
        <f t="shared" ref="AO139:AO202" si="107">AK139+T139+Y139-AD139-AN139-AL139+AM139</f>
        <v>0</v>
      </c>
      <c r="AP139" s="32">
        <f t="shared" ref="AP139:AP202" si="108">J139-AO139</f>
        <v>0</v>
      </c>
      <c r="AS139" s="32">
        <f t="shared" ref="AS139:AS202" si="109">ROUND((IF(D139&gt;G139,D139-G139,0))*(AK$2-AL$2+AM$2),0)</f>
        <v>0</v>
      </c>
      <c r="AT139" s="32">
        <f t="shared" si="99"/>
        <v>0</v>
      </c>
      <c r="AU139" s="32">
        <f t="shared" ref="AU139:AU202" si="110">AS139-AT139</f>
        <v>0</v>
      </c>
      <c r="AV139" s="4">
        <f t="shared" ref="AV139:AV202" si="111">AT139</f>
        <v>0</v>
      </c>
      <c r="AW139" s="32">
        <f t="shared" ref="AW139:AW202" si="112">AU139-AV139</f>
        <v>0</v>
      </c>
      <c r="AX139" s="4">
        <f t="shared" ref="AX139:AX202" si="113">AV139</f>
        <v>0</v>
      </c>
      <c r="AY139" s="32">
        <f t="shared" ref="AY139:AY202" si="114">AW139-AX139</f>
        <v>0</v>
      </c>
      <c r="AZ139" s="4">
        <f t="shared" ref="AZ139:AZ202" si="115">AX139</f>
        <v>0</v>
      </c>
      <c r="BA139" s="32">
        <f t="shared" ref="BA139:BA202" si="116">AY139-AZ139</f>
        <v>0</v>
      </c>
      <c r="BB139" s="32">
        <f t="shared" si="100"/>
        <v>0</v>
      </c>
      <c r="BC139" s="32">
        <f t="shared" ref="BC139:BC202" si="117">BA139-BB139</f>
        <v>0</v>
      </c>
      <c r="BD139" s="32">
        <f t="shared" ref="BD139:BD202" si="118">BC139</f>
        <v>0</v>
      </c>
      <c r="BF139" s="32">
        <f t="shared" ref="BF139:BF202" si="119">ROUND((IF(D139&lt;G139,G139-D139,0))*(AK$2-AL$2+AM$2),0)</f>
        <v>0</v>
      </c>
      <c r="BG139" s="32">
        <f t="shared" si="101"/>
        <v>0</v>
      </c>
      <c r="BH139" s="32">
        <f t="shared" ref="BH139:BH202" si="120">BF139-BG139</f>
        <v>0</v>
      </c>
      <c r="BI139" s="4">
        <f t="shared" ref="BI139:BI202" si="121">BG139</f>
        <v>0</v>
      </c>
      <c r="BJ139" s="32">
        <f t="shared" ref="BJ139:BJ202" si="122">BH139-BI139</f>
        <v>0</v>
      </c>
      <c r="BK139" s="4">
        <f t="shared" ref="BK139:BK202" si="123">BI139</f>
        <v>0</v>
      </c>
      <c r="BL139" s="32">
        <f t="shared" ref="BL139:BL202" si="124">BJ139-BK139</f>
        <v>0</v>
      </c>
      <c r="BM139" s="4">
        <f t="shared" ref="BM139:BM202" si="125">BK139</f>
        <v>0</v>
      </c>
      <c r="BN139" s="32">
        <f t="shared" ref="BN139:BN202" si="126">BL139-BM139</f>
        <v>0</v>
      </c>
      <c r="BO139" s="4">
        <f t="shared" ref="BO139:BO182" si="127">BM139</f>
        <v>0</v>
      </c>
      <c r="BP139" s="32">
        <f t="shared" ref="BP139:BP202" si="128">BN139-BO139</f>
        <v>0</v>
      </c>
      <c r="BQ139" s="32">
        <f t="shared" ref="BQ139:BQ202" si="129">BP139</f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  <c r="DO139" s="4">
        <v>0</v>
      </c>
      <c r="DP139" s="4">
        <v>0</v>
      </c>
      <c r="DQ139" s="4">
        <v>0</v>
      </c>
    </row>
    <row r="140" spans="1:121" x14ac:dyDescent="0.35">
      <c r="A140" s="84">
        <f>'2017 Prop share of contribs'!A136</f>
        <v>140</v>
      </c>
      <c r="B140" s="84" t="str">
        <f>'2017 Prop share of contribs'!B136</f>
        <v xml:space="preserve">CAMPBELLSVILLE CITY SCHOOLS  </v>
      </c>
      <c r="C140" s="25" t="s">
        <v>250</v>
      </c>
      <c r="D140" s="33">
        <f>ROUND('Employer Allocations'!G179,8)</f>
        <v>0</v>
      </c>
      <c r="E140" s="4">
        <f>ROUND('Employer Allocations'!H179,8)</f>
        <v>1.71598E-3</v>
      </c>
      <c r="F140" s="4">
        <f>ROUND('Employer Allocations'!I179,8)</f>
        <v>1.71598E-3</v>
      </c>
      <c r="G140" s="4">
        <v>0</v>
      </c>
      <c r="H140" s="4">
        <v>1.71448E-3</v>
      </c>
      <c r="I140" s="4">
        <v>1.71448E-3</v>
      </c>
      <c r="J140" s="7">
        <f t="shared" si="93"/>
        <v>0</v>
      </c>
      <c r="K140" s="7">
        <f t="shared" si="94"/>
        <v>46301849</v>
      </c>
      <c r="L140" s="7">
        <f t="shared" si="102"/>
        <v>46301849</v>
      </c>
      <c r="M140" s="7"/>
      <c r="N140" s="7">
        <f t="shared" si="95"/>
        <v>0</v>
      </c>
      <c r="O140" s="32">
        <f t="shared" si="96"/>
        <v>0</v>
      </c>
      <c r="P140" s="32"/>
      <c r="Q140" s="32">
        <f t="shared" si="97"/>
        <v>3295982</v>
      </c>
      <c r="R140" s="32">
        <f t="shared" si="103"/>
        <v>3295982</v>
      </c>
      <c r="S140" s="32">
        <f t="shared" si="104"/>
        <v>0</v>
      </c>
      <c r="T140" s="32">
        <f t="shared" si="98"/>
        <v>0</v>
      </c>
      <c r="U140" s="32">
        <f t="shared" ref="U140:AJ155" si="130">ROUND(U$2*$D140,0)</f>
        <v>0</v>
      </c>
      <c r="V140" s="32">
        <f t="shared" si="130"/>
        <v>0</v>
      </c>
      <c r="W140" s="32">
        <f t="shared" si="130"/>
        <v>0</v>
      </c>
      <c r="X140" s="32">
        <f t="shared" si="105"/>
        <v>0</v>
      </c>
      <c r="Y140" s="32"/>
      <c r="Z140" s="32">
        <f t="shared" si="130"/>
        <v>0</v>
      </c>
      <c r="AA140" s="32">
        <f t="shared" si="130"/>
        <v>0</v>
      </c>
      <c r="AB140" s="32">
        <f t="shared" si="130"/>
        <v>0</v>
      </c>
      <c r="AC140" s="32">
        <f t="shared" si="106"/>
        <v>0</v>
      </c>
      <c r="AD140" s="32"/>
      <c r="AE140" s="32">
        <f t="shared" si="130"/>
        <v>0</v>
      </c>
      <c r="AF140" s="32">
        <f t="shared" si="130"/>
        <v>0</v>
      </c>
      <c r="AG140" s="32">
        <f t="shared" si="130"/>
        <v>0</v>
      </c>
      <c r="AH140" s="32">
        <f t="shared" si="130"/>
        <v>0</v>
      </c>
      <c r="AI140" s="32">
        <f t="shared" si="130"/>
        <v>0</v>
      </c>
      <c r="AJ140" s="32">
        <f t="shared" si="92"/>
        <v>0</v>
      </c>
      <c r="AK140" s="7">
        <v>0</v>
      </c>
      <c r="AL140" s="32">
        <v>0</v>
      </c>
      <c r="AM140" s="32"/>
      <c r="AN140" s="4">
        <v>0</v>
      </c>
      <c r="AO140" s="32">
        <f t="shared" si="107"/>
        <v>0</v>
      </c>
      <c r="AP140" s="32">
        <f t="shared" si="108"/>
        <v>0</v>
      </c>
      <c r="AS140" s="32">
        <f t="shared" si="109"/>
        <v>0</v>
      </c>
      <c r="AT140" s="32">
        <f t="shared" si="99"/>
        <v>0</v>
      </c>
      <c r="AU140" s="32">
        <f t="shared" si="110"/>
        <v>0</v>
      </c>
      <c r="AV140" s="4">
        <f t="shared" si="111"/>
        <v>0</v>
      </c>
      <c r="AW140" s="32">
        <f t="shared" si="112"/>
        <v>0</v>
      </c>
      <c r="AX140" s="4">
        <f t="shared" si="113"/>
        <v>0</v>
      </c>
      <c r="AY140" s="32">
        <f t="shared" si="114"/>
        <v>0</v>
      </c>
      <c r="AZ140" s="4">
        <f t="shared" si="115"/>
        <v>0</v>
      </c>
      <c r="BA140" s="32">
        <f t="shared" si="116"/>
        <v>0</v>
      </c>
      <c r="BB140" s="32">
        <f t="shared" si="100"/>
        <v>0</v>
      </c>
      <c r="BC140" s="32">
        <f t="shared" si="117"/>
        <v>0</v>
      </c>
      <c r="BD140" s="32">
        <f t="shared" si="118"/>
        <v>0</v>
      </c>
      <c r="BF140" s="32">
        <f t="shared" si="119"/>
        <v>0</v>
      </c>
      <c r="BG140" s="32">
        <f t="shared" si="101"/>
        <v>0</v>
      </c>
      <c r="BH140" s="32">
        <f t="shared" si="120"/>
        <v>0</v>
      </c>
      <c r="BI140" s="4">
        <f t="shared" si="121"/>
        <v>0</v>
      </c>
      <c r="BJ140" s="32">
        <f t="shared" si="122"/>
        <v>0</v>
      </c>
      <c r="BK140" s="4">
        <f t="shared" si="123"/>
        <v>0</v>
      </c>
      <c r="BL140" s="32">
        <f t="shared" si="124"/>
        <v>0</v>
      </c>
      <c r="BM140" s="4">
        <f t="shared" si="125"/>
        <v>0</v>
      </c>
      <c r="BN140" s="32">
        <f t="shared" si="126"/>
        <v>0</v>
      </c>
      <c r="BO140" s="4">
        <f t="shared" si="127"/>
        <v>0</v>
      </c>
      <c r="BP140" s="32">
        <f t="shared" si="128"/>
        <v>0</v>
      </c>
      <c r="BQ140" s="32">
        <f t="shared" si="129"/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  <c r="DO140" s="4">
        <v>0</v>
      </c>
      <c r="DP140" s="4">
        <v>0</v>
      </c>
      <c r="DQ140" s="4">
        <v>0</v>
      </c>
    </row>
    <row r="141" spans="1:121" x14ac:dyDescent="0.35">
      <c r="A141" s="84">
        <f>'2017 Prop share of contribs'!A137</f>
        <v>144</v>
      </c>
      <c r="B141" s="84" t="str">
        <f>'2017 Prop share of contribs'!B137</f>
        <v xml:space="preserve">CAVERNA CITY SCHOOLS  </v>
      </c>
      <c r="C141" s="25" t="s">
        <v>251</v>
      </c>
      <c r="D141" s="33">
        <f>ROUND('Employer Allocations'!G180,8)</f>
        <v>0</v>
      </c>
      <c r="E141" s="4">
        <f>ROUND('Employer Allocations'!H180,8)</f>
        <v>1.10658E-3</v>
      </c>
      <c r="F141" s="4">
        <f>ROUND('Employer Allocations'!I180,8)</f>
        <v>1.10658E-3</v>
      </c>
      <c r="G141" s="4">
        <v>0</v>
      </c>
      <c r="H141" s="4">
        <v>1.0913800000000001E-3</v>
      </c>
      <c r="I141" s="4">
        <v>1.0913800000000001E-3</v>
      </c>
      <c r="J141" s="7">
        <f t="shared" si="93"/>
        <v>0</v>
      </c>
      <c r="K141" s="7">
        <f t="shared" si="94"/>
        <v>29858565</v>
      </c>
      <c r="L141" s="7">
        <f t="shared" si="102"/>
        <v>29858565</v>
      </c>
      <c r="M141" s="7"/>
      <c r="N141" s="7">
        <f t="shared" si="95"/>
        <v>0</v>
      </c>
      <c r="O141" s="32">
        <f t="shared" si="96"/>
        <v>0</v>
      </c>
      <c r="P141" s="32"/>
      <c r="Q141" s="32">
        <f t="shared" si="97"/>
        <v>2125472</v>
      </c>
      <c r="R141" s="32">
        <f t="shared" si="103"/>
        <v>2125472</v>
      </c>
      <c r="S141" s="32">
        <f t="shared" si="104"/>
        <v>0</v>
      </c>
      <c r="T141" s="32">
        <f t="shared" si="98"/>
        <v>0</v>
      </c>
      <c r="U141" s="32">
        <f t="shared" si="130"/>
        <v>0</v>
      </c>
      <c r="V141" s="32">
        <f t="shared" si="130"/>
        <v>0</v>
      </c>
      <c r="W141" s="32">
        <f t="shared" si="130"/>
        <v>0</v>
      </c>
      <c r="X141" s="32">
        <f t="shared" si="105"/>
        <v>0</v>
      </c>
      <c r="Y141" s="32"/>
      <c r="Z141" s="32">
        <f t="shared" si="130"/>
        <v>0</v>
      </c>
      <c r="AA141" s="32">
        <f t="shared" si="130"/>
        <v>0</v>
      </c>
      <c r="AB141" s="32">
        <f t="shared" si="130"/>
        <v>0</v>
      </c>
      <c r="AC141" s="32">
        <f t="shared" si="106"/>
        <v>0</v>
      </c>
      <c r="AD141" s="32"/>
      <c r="AE141" s="32">
        <f t="shared" si="130"/>
        <v>0</v>
      </c>
      <c r="AF141" s="32">
        <f t="shared" si="130"/>
        <v>0</v>
      </c>
      <c r="AG141" s="32">
        <f t="shared" si="130"/>
        <v>0</v>
      </c>
      <c r="AH141" s="32">
        <f t="shared" si="130"/>
        <v>0</v>
      </c>
      <c r="AI141" s="32">
        <f t="shared" si="130"/>
        <v>0</v>
      </c>
      <c r="AJ141" s="32">
        <f t="shared" si="92"/>
        <v>0</v>
      </c>
      <c r="AK141" s="7">
        <v>0</v>
      </c>
      <c r="AL141" s="32">
        <v>0</v>
      </c>
      <c r="AM141" s="32"/>
      <c r="AN141" s="4">
        <v>0</v>
      </c>
      <c r="AO141" s="32">
        <f t="shared" si="107"/>
        <v>0</v>
      </c>
      <c r="AP141" s="32">
        <f t="shared" si="108"/>
        <v>0</v>
      </c>
      <c r="AS141" s="32">
        <f t="shared" si="109"/>
        <v>0</v>
      </c>
      <c r="AT141" s="32">
        <f t="shared" si="99"/>
        <v>0</v>
      </c>
      <c r="AU141" s="32">
        <f t="shared" si="110"/>
        <v>0</v>
      </c>
      <c r="AV141" s="4">
        <f t="shared" si="111"/>
        <v>0</v>
      </c>
      <c r="AW141" s="32">
        <f t="shared" si="112"/>
        <v>0</v>
      </c>
      <c r="AX141" s="4">
        <f t="shared" si="113"/>
        <v>0</v>
      </c>
      <c r="AY141" s="32">
        <f t="shared" si="114"/>
        <v>0</v>
      </c>
      <c r="AZ141" s="4">
        <f t="shared" si="115"/>
        <v>0</v>
      </c>
      <c r="BA141" s="32">
        <f t="shared" si="116"/>
        <v>0</v>
      </c>
      <c r="BB141" s="32">
        <f t="shared" si="100"/>
        <v>0</v>
      </c>
      <c r="BC141" s="32">
        <f t="shared" si="117"/>
        <v>0</v>
      </c>
      <c r="BD141" s="32">
        <f t="shared" si="118"/>
        <v>0</v>
      </c>
      <c r="BF141" s="32">
        <f t="shared" si="119"/>
        <v>0</v>
      </c>
      <c r="BG141" s="32">
        <f t="shared" si="101"/>
        <v>0</v>
      </c>
      <c r="BH141" s="32">
        <f t="shared" si="120"/>
        <v>0</v>
      </c>
      <c r="BI141" s="4">
        <f t="shared" si="121"/>
        <v>0</v>
      </c>
      <c r="BJ141" s="32">
        <f t="shared" si="122"/>
        <v>0</v>
      </c>
      <c r="BK141" s="4">
        <f t="shared" si="123"/>
        <v>0</v>
      </c>
      <c r="BL141" s="32">
        <f t="shared" si="124"/>
        <v>0</v>
      </c>
      <c r="BM141" s="4">
        <f t="shared" si="125"/>
        <v>0</v>
      </c>
      <c r="BN141" s="32">
        <f t="shared" si="126"/>
        <v>0</v>
      </c>
      <c r="BO141" s="4">
        <f t="shared" si="127"/>
        <v>0</v>
      </c>
      <c r="BP141" s="32">
        <f t="shared" si="128"/>
        <v>0</v>
      </c>
      <c r="BQ141" s="32">
        <f t="shared" si="129"/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0</v>
      </c>
      <c r="CQ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  <c r="DO141" s="4">
        <v>0</v>
      </c>
      <c r="DP141" s="4">
        <v>0</v>
      </c>
      <c r="DQ141" s="4">
        <v>0</v>
      </c>
    </row>
    <row r="142" spans="1:121" x14ac:dyDescent="0.35">
      <c r="A142" s="84">
        <f>'2017 Prop share of contribs'!A138</f>
        <v>147</v>
      </c>
      <c r="B142" s="84" t="str">
        <f>'2017 Prop share of contribs'!B138</f>
        <v xml:space="preserve">CLOVERPORT CITY SCHOOLS  </v>
      </c>
      <c r="C142" s="25" t="s">
        <v>252</v>
      </c>
      <c r="D142" s="33">
        <f>ROUND('Employer Allocations'!G181,8)</f>
        <v>0</v>
      </c>
      <c r="E142" s="4">
        <f>ROUND('Employer Allocations'!H181,8)</f>
        <v>5.4474999999999999E-4</v>
      </c>
      <c r="F142" s="4">
        <f>ROUND('Employer Allocations'!I181,8)</f>
        <v>5.4474999999999999E-4</v>
      </c>
      <c r="G142" s="4">
        <v>0</v>
      </c>
      <c r="H142" s="4">
        <v>5.7443000000000001E-4</v>
      </c>
      <c r="I142" s="4">
        <v>5.7443000000000001E-4</v>
      </c>
      <c r="J142" s="7">
        <f t="shared" si="93"/>
        <v>0</v>
      </c>
      <c r="K142" s="7">
        <f t="shared" si="94"/>
        <v>14698850</v>
      </c>
      <c r="L142" s="7">
        <f t="shared" si="102"/>
        <v>14698850</v>
      </c>
      <c r="M142" s="7"/>
      <c r="N142" s="7">
        <f t="shared" si="95"/>
        <v>0</v>
      </c>
      <c r="O142" s="32">
        <f t="shared" si="96"/>
        <v>0</v>
      </c>
      <c r="P142" s="32"/>
      <c r="Q142" s="32">
        <f t="shared" si="97"/>
        <v>1046333</v>
      </c>
      <c r="R142" s="32">
        <f t="shared" si="103"/>
        <v>1046333</v>
      </c>
      <c r="S142" s="32">
        <f t="shared" si="104"/>
        <v>0</v>
      </c>
      <c r="T142" s="32">
        <f t="shared" si="98"/>
        <v>0</v>
      </c>
      <c r="U142" s="32">
        <f t="shared" si="130"/>
        <v>0</v>
      </c>
      <c r="V142" s="32">
        <f t="shared" si="130"/>
        <v>0</v>
      </c>
      <c r="W142" s="32">
        <f t="shared" si="130"/>
        <v>0</v>
      </c>
      <c r="X142" s="32">
        <f t="shared" si="105"/>
        <v>0</v>
      </c>
      <c r="Y142" s="32"/>
      <c r="Z142" s="32">
        <f t="shared" si="130"/>
        <v>0</v>
      </c>
      <c r="AA142" s="32">
        <f t="shared" si="130"/>
        <v>0</v>
      </c>
      <c r="AB142" s="32">
        <f t="shared" si="130"/>
        <v>0</v>
      </c>
      <c r="AC142" s="32">
        <f t="shared" si="106"/>
        <v>0</v>
      </c>
      <c r="AD142" s="32"/>
      <c r="AE142" s="32">
        <f t="shared" si="130"/>
        <v>0</v>
      </c>
      <c r="AF142" s="32">
        <f t="shared" si="130"/>
        <v>0</v>
      </c>
      <c r="AG142" s="32">
        <f t="shared" si="130"/>
        <v>0</v>
      </c>
      <c r="AH142" s="32">
        <f t="shared" si="130"/>
        <v>0</v>
      </c>
      <c r="AI142" s="32">
        <f t="shared" si="130"/>
        <v>0</v>
      </c>
      <c r="AJ142" s="32">
        <f t="shared" si="92"/>
        <v>0</v>
      </c>
      <c r="AK142" s="7">
        <v>0</v>
      </c>
      <c r="AL142" s="32">
        <v>0</v>
      </c>
      <c r="AM142" s="32"/>
      <c r="AN142" s="4">
        <v>0</v>
      </c>
      <c r="AO142" s="32">
        <f t="shared" si="107"/>
        <v>0</v>
      </c>
      <c r="AP142" s="32">
        <f t="shared" si="108"/>
        <v>0</v>
      </c>
      <c r="AS142" s="32">
        <f t="shared" si="109"/>
        <v>0</v>
      </c>
      <c r="AT142" s="32">
        <f t="shared" si="99"/>
        <v>0</v>
      </c>
      <c r="AU142" s="32">
        <f t="shared" si="110"/>
        <v>0</v>
      </c>
      <c r="AV142" s="4">
        <f t="shared" si="111"/>
        <v>0</v>
      </c>
      <c r="AW142" s="32">
        <f t="shared" si="112"/>
        <v>0</v>
      </c>
      <c r="AX142" s="4">
        <f t="shared" si="113"/>
        <v>0</v>
      </c>
      <c r="AY142" s="32">
        <f t="shared" si="114"/>
        <v>0</v>
      </c>
      <c r="AZ142" s="4">
        <f t="shared" si="115"/>
        <v>0</v>
      </c>
      <c r="BA142" s="32">
        <f t="shared" si="116"/>
        <v>0</v>
      </c>
      <c r="BB142" s="32">
        <f t="shared" si="100"/>
        <v>0</v>
      </c>
      <c r="BC142" s="32">
        <f t="shared" si="117"/>
        <v>0</v>
      </c>
      <c r="BD142" s="32">
        <f t="shared" si="118"/>
        <v>0</v>
      </c>
      <c r="BF142" s="32">
        <f t="shared" si="119"/>
        <v>0</v>
      </c>
      <c r="BG142" s="32">
        <f t="shared" si="101"/>
        <v>0</v>
      </c>
      <c r="BH142" s="32">
        <f t="shared" si="120"/>
        <v>0</v>
      </c>
      <c r="BI142" s="4">
        <f t="shared" si="121"/>
        <v>0</v>
      </c>
      <c r="BJ142" s="32">
        <f t="shared" si="122"/>
        <v>0</v>
      </c>
      <c r="BK142" s="4">
        <f t="shared" si="123"/>
        <v>0</v>
      </c>
      <c r="BL142" s="32">
        <f t="shared" si="124"/>
        <v>0</v>
      </c>
      <c r="BM142" s="4">
        <f t="shared" si="125"/>
        <v>0</v>
      </c>
      <c r="BN142" s="32">
        <f t="shared" si="126"/>
        <v>0</v>
      </c>
      <c r="BO142" s="4">
        <f t="shared" si="127"/>
        <v>0</v>
      </c>
      <c r="BP142" s="32">
        <f t="shared" si="128"/>
        <v>0</v>
      </c>
      <c r="BQ142" s="32">
        <f t="shared" si="129"/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  <c r="DO142" s="4">
        <v>0</v>
      </c>
      <c r="DP142" s="4">
        <v>0</v>
      </c>
      <c r="DQ142" s="4">
        <v>0</v>
      </c>
    </row>
    <row r="143" spans="1:121" x14ac:dyDescent="0.35">
      <c r="A143" s="84">
        <f>'2017 Prop share of contribs'!A139</f>
        <v>150</v>
      </c>
      <c r="B143" s="84" t="str">
        <f>'2017 Prop share of contribs'!B139</f>
        <v xml:space="preserve">CORBIN CITY SCHOOLS  </v>
      </c>
      <c r="C143" s="25" t="s">
        <v>253</v>
      </c>
      <c r="D143" s="33">
        <f>ROUND('Employer Allocations'!G182,8)</f>
        <v>0</v>
      </c>
      <c r="E143" s="4">
        <f>ROUND('Employer Allocations'!H182,8)</f>
        <v>3.7924500000000002E-3</v>
      </c>
      <c r="F143" s="4">
        <f>ROUND('Employer Allocations'!I182,8)</f>
        <v>3.7924500000000002E-3</v>
      </c>
      <c r="G143" s="4">
        <v>0</v>
      </c>
      <c r="H143" s="4">
        <v>3.7358500000000002E-3</v>
      </c>
      <c r="I143" s="4">
        <v>3.7358500000000002E-3</v>
      </c>
      <c r="J143" s="7">
        <f t="shared" si="93"/>
        <v>0</v>
      </c>
      <c r="K143" s="7">
        <f t="shared" si="94"/>
        <v>102330708</v>
      </c>
      <c r="L143" s="7">
        <f t="shared" si="102"/>
        <v>102330708</v>
      </c>
      <c r="M143" s="7"/>
      <c r="N143" s="7">
        <f t="shared" si="95"/>
        <v>0</v>
      </c>
      <c r="O143" s="32">
        <f t="shared" si="96"/>
        <v>0</v>
      </c>
      <c r="P143" s="32"/>
      <c r="Q143" s="32">
        <f t="shared" si="97"/>
        <v>7284377</v>
      </c>
      <c r="R143" s="32">
        <f t="shared" si="103"/>
        <v>7284377</v>
      </c>
      <c r="S143" s="32">
        <f t="shared" si="104"/>
        <v>0</v>
      </c>
      <c r="T143" s="32">
        <f t="shared" si="98"/>
        <v>0</v>
      </c>
      <c r="U143" s="32">
        <f t="shared" si="130"/>
        <v>0</v>
      </c>
      <c r="V143" s="32">
        <f t="shared" si="130"/>
        <v>0</v>
      </c>
      <c r="W143" s="32">
        <f t="shared" si="130"/>
        <v>0</v>
      </c>
      <c r="X143" s="32">
        <f t="shared" si="105"/>
        <v>0</v>
      </c>
      <c r="Y143" s="32"/>
      <c r="Z143" s="32">
        <f t="shared" si="130"/>
        <v>0</v>
      </c>
      <c r="AA143" s="32">
        <f t="shared" si="130"/>
        <v>0</v>
      </c>
      <c r="AB143" s="32">
        <f t="shared" si="130"/>
        <v>0</v>
      </c>
      <c r="AC143" s="32">
        <f t="shared" si="106"/>
        <v>0</v>
      </c>
      <c r="AD143" s="32"/>
      <c r="AE143" s="32">
        <f t="shared" si="130"/>
        <v>0</v>
      </c>
      <c r="AF143" s="32">
        <f t="shared" si="130"/>
        <v>0</v>
      </c>
      <c r="AG143" s="32">
        <f t="shared" si="130"/>
        <v>0</v>
      </c>
      <c r="AH143" s="32">
        <f t="shared" si="130"/>
        <v>0</v>
      </c>
      <c r="AI143" s="32">
        <f t="shared" si="130"/>
        <v>0</v>
      </c>
      <c r="AJ143" s="32">
        <f t="shared" si="92"/>
        <v>0</v>
      </c>
      <c r="AK143" s="7">
        <v>0</v>
      </c>
      <c r="AL143" s="32">
        <v>0</v>
      </c>
      <c r="AM143" s="32"/>
      <c r="AN143" s="4">
        <v>0</v>
      </c>
      <c r="AO143" s="32">
        <f t="shared" si="107"/>
        <v>0</v>
      </c>
      <c r="AP143" s="32">
        <f t="shared" si="108"/>
        <v>0</v>
      </c>
      <c r="AS143" s="32">
        <f t="shared" si="109"/>
        <v>0</v>
      </c>
      <c r="AT143" s="32">
        <f t="shared" si="99"/>
        <v>0</v>
      </c>
      <c r="AU143" s="32">
        <f t="shared" si="110"/>
        <v>0</v>
      </c>
      <c r="AV143" s="4">
        <f t="shared" si="111"/>
        <v>0</v>
      </c>
      <c r="AW143" s="32">
        <f t="shared" si="112"/>
        <v>0</v>
      </c>
      <c r="AX143" s="4">
        <f t="shared" si="113"/>
        <v>0</v>
      </c>
      <c r="AY143" s="32">
        <f t="shared" si="114"/>
        <v>0</v>
      </c>
      <c r="AZ143" s="4">
        <f t="shared" si="115"/>
        <v>0</v>
      </c>
      <c r="BA143" s="32">
        <f t="shared" si="116"/>
        <v>0</v>
      </c>
      <c r="BB143" s="32">
        <f t="shared" si="100"/>
        <v>0</v>
      </c>
      <c r="BC143" s="32">
        <f t="shared" si="117"/>
        <v>0</v>
      </c>
      <c r="BD143" s="32">
        <f t="shared" si="118"/>
        <v>0</v>
      </c>
      <c r="BF143" s="32">
        <f t="shared" si="119"/>
        <v>0</v>
      </c>
      <c r="BG143" s="32">
        <f t="shared" si="101"/>
        <v>0</v>
      </c>
      <c r="BH143" s="32">
        <f t="shared" si="120"/>
        <v>0</v>
      </c>
      <c r="BI143" s="4">
        <f t="shared" si="121"/>
        <v>0</v>
      </c>
      <c r="BJ143" s="32">
        <f t="shared" si="122"/>
        <v>0</v>
      </c>
      <c r="BK143" s="4">
        <f t="shared" si="123"/>
        <v>0</v>
      </c>
      <c r="BL143" s="32">
        <f t="shared" si="124"/>
        <v>0</v>
      </c>
      <c r="BM143" s="4">
        <f t="shared" si="125"/>
        <v>0</v>
      </c>
      <c r="BN143" s="32">
        <f t="shared" si="126"/>
        <v>0</v>
      </c>
      <c r="BO143" s="4">
        <f t="shared" si="127"/>
        <v>0</v>
      </c>
      <c r="BP143" s="32">
        <f t="shared" si="128"/>
        <v>0</v>
      </c>
      <c r="BQ143" s="32">
        <f t="shared" si="129"/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  <c r="DO143" s="4">
        <v>0</v>
      </c>
      <c r="DP143" s="4">
        <v>0</v>
      </c>
      <c r="DQ143" s="4">
        <v>0</v>
      </c>
    </row>
    <row r="144" spans="1:121" x14ac:dyDescent="0.35">
      <c r="A144" s="84">
        <f>'2017 Prop share of contribs'!A140</f>
        <v>151</v>
      </c>
      <c r="B144" s="84" t="str">
        <f>'2017 Prop share of contribs'!B140</f>
        <v xml:space="preserve">COVINGTON CITY SCHOOLS  </v>
      </c>
      <c r="C144" s="25" t="s">
        <v>254</v>
      </c>
      <c r="D144" s="33">
        <f>ROUND('Employer Allocations'!G183,8)</f>
        <v>0</v>
      </c>
      <c r="E144" s="4">
        <f>ROUND('Employer Allocations'!H183,8)</f>
        <v>6.6219E-3</v>
      </c>
      <c r="F144" s="4">
        <f>ROUND('Employer Allocations'!I183,8)</f>
        <v>6.6219E-3</v>
      </c>
      <c r="G144" s="4">
        <v>0</v>
      </c>
      <c r="H144" s="4">
        <v>6.7372500000000002E-3</v>
      </c>
      <c r="I144" s="4">
        <v>6.7372500000000002E-3</v>
      </c>
      <c r="J144" s="7">
        <f t="shared" si="93"/>
        <v>0</v>
      </c>
      <c r="K144" s="7">
        <f t="shared" si="94"/>
        <v>178677034</v>
      </c>
      <c r="L144" s="7">
        <f t="shared" si="102"/>
        <v>178677034</v>
      </c>
      <c r="M144" s="7"/>
      <c r="N144" s="7">
        <f t="shared" si="95"/>
        <v>0</v>
      </c>
      <c r="O144" s="32">
        <f t="shared" si="96"/>
        <v>0</v>
      </c>
      <c r="P144" s="32"/>
      <c r="Q144" s="32">
        <f t="shared" si="97"/>
        <v>12719065</v>
      </c>
      <c r="R144" s="32">
        <f t="shared" si="103"/>
        <v>12719065</v>
      </c>
      <c r="S144" s="32">
        <f t="shared" si="104"/>
        <v>0</v>
      </c>
      <c r="T144" s="32">
        <f t="shared" si="98"/>
        <v>0</v>
      </c>
      <c r="U144" s="32">
        <f t="shared" si="130"/>
        <v>0</v>
      </c>
      <c r="V144" s="32">
        <f t="shared" si="130"/>
        <v>0</v>
      </c>
      <c r="W144" s="32">
        <f t="shared" si="130"/>
        <v>0</v>
      </c>
      <c r="X144" s="32">
        <f t="shared" si="105"/>
        <v>0</v>
      </c>
      <c r="Y144" s="32"/>
      <c r="Z144" s="32">
        <f t="shared" si="130"/>
        <v>0</v>
      </c>
      <c r="AA144" s="32">
        <f t="shared" si="130"/>
        <v>0</v>
      </c>
      <c r="AB144" s="32">
        <f t="shared" si="130"/>
        <v>0</v>
      </c>
      <c r="AC144" s="32">
        <f t="shared" si="106"/>
        <v>0</v>
      </c>
      <c r="AD144" s="32"/>
      <c r="AE144" s="32">
        <f t="shared" si="130"/>
        <v>0</v>
      </c>
      <c r="AF144" s="32">
        <f t="shared" si="130"/>
        <v>0</v>
      </c>
      <c r="AG144" s="32">
        <f t="shared" si="130"/>
        <v>0</v>
      </c>
      <c r="AH144" s="32">
        <f t="shared" si="130"/>
        <v>0</v>
      </c>
      <c r="AI144" s="32">
        <f t="shared" si="130"/>
        <v>0</v>
      </c>
      <c r="AJ144" s="32">
        <f t="shared" si="92"/>
        <v>0</v>
      </c>
      <c r="AK144" s="7">
        <v>0</v>
      </c>
      <c r="AL144" s="32">
        <v>0</v>
      </c>
      <c r="AM144" s="32"/>
      <c r="AN144" s="4">
        <v>0</v>
      </c>
      <c r="AO144" s="32">
        <f t="shared" si="107"/>
        <v>0</v>
      </c>
      <c r="AP144" s="32">
        <f t="shared" si="108"/>
        <v>0</v>
      </c>
      <c r="AS144" s="32">
        <f t="shared" si="109"/>
        <v>0</v>
      </c>
      <c r="AT144" s="32">
        <f t="shared" si="99"/>
        <v>0</v>
      </c>
      <c r="AU144" s="32">
        <f t="shared" si="110"/>
        <v>0</v>
      </c>
      <c r="AV144" s="4">
        <f t="shared" si="111"/>
        <v>0</v>
      </c>
      <c r="AW144" s="32">
        <f t="shared" si="112"/>
        <v>0</v>
      </c>
      <c r="AX144" s="4">
        <f t="shared" si="113"/>
        <v>0</v>
      </c>
      <c r="AY144" s="32">
        <f t="shared" si="114"/>
        <v>0</v>
      </c>
      <c r="AZ144" s="4">
        <f t="shared" si="115"/>
        <v>0</v>
      </c>
      <c r="BA144" s="32">
        <f t="shared" si="116"/>
        <v>0</v>
      </c>
      <c r="BB144" s="32">
        <f t="shared" si="100"/>
        <v>0</v>
      </c>
      <c r="BC144" s="32">
        <f t="shared" si="117"/>
        <v>0</v>
      </c>
      <c r="BD144" s="32">
        <f t="shared" si="118"/>
        <v>0</v>
      </c>
      <c r="BF144" s="32">
        <f t="shared" si="119"/>
        <v>0</v>
      </c>
      <c r="BG144" s="32">
        <f t="shared" si="101"/>
        <v>0</v>
      </c>
      <c r="BH144" s="32">
        <f t="shared" si="120"/>
        <v>0</v>
      </c>
      <c r="BI144" s="4">
        <f t="shared" si="121"/>
        <v>0</v>
      </c>
      <c r="BJ144" s="32">
        <f t="shared" si="122"/>
        <v>0</v>
      </c>
      <c r="BK144" s="4">
        <f t="shared" si="123"/>
        <v>0</v>
      </c>
      <c r="BL144" s="32">
        <f t="shared" si="124"/>
        <v>0</v>
      </c>
      <c r="BM144" s="4">
        <f t="shared" si="125"/>
        <v>0</v>
      </c>
      <c r="BN144" s="32">
        <f t="shared" si="126"/>
        <v>0</v>
      </c>
      <c r="BO144" s="4">
        <f t="shared" si="127"/>
        <v>0</v>
      </c>
      <c r="BP144" s="32">
        <f t="shared" si="128"/>
        <v>0</v>
      </c>
      <c r="BQ144" s="32">
        <f t="shared" si="129"/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  <c r="DO144" s="4">
        <v>0</v>
      </c>
      <c r="DP144" s="4">
        <v>0</v>
      </c>
      <c r="DQ144" s="4">
        <v>0</v>
      </c>
    </row>
    <row r="145" spans="1:121" x14ac:dyDescent="0.35">
      <c r="A145" s="84">
        <f>'2017 Prop share of contribs'!A141</f>
        <v>154</v>
      </c>
      <c r="B145" s="84" t="str">
        <f>'2017 Prop share of contribs'!B141</f>
        <v xml:space="preserve">DANVILLE CITY SCHOOLS  </v>
      </c>
      <c r="C145" s="25" t="s">
        <v>255</v>
      </c>
      <c r="D145" s="33">
        <f>ROUND('Employer Allocations'!G184,8)</f>
        <v>0</v>
      </c>
      <c r="E145" s="4">
        <f>ROUND('Employer Allocations'!H184,8)</f>
        <v>3.3256399999999999E-3</v>
      </c>
      <c r="F145" s="4">
        <f>ROUND('Employer Allocations'!I184,8)</f>
        <v>3.3256399999999999E-3</v>
      </c>
      <c r="G145" s="4">
        <v>0</v>
      </c>
      <c r="H145" s="4">
        <v>3.33293E-3</v>
      </c>
      <c r="I145" s="4">
        <v>3.33293E-3</v>
      </c>
      <c r="J145" s="7">
        <f t="shared" si="93"/>
        <v>0</v>
      </c>
      <c r="K145" s="7">
        <f t="shared" si="94"/>
        <v>89734893</v>
      </c>
      <c r="L145" s="7">
        <f t="shared" si="102"/>
        <v>89734893</v>
      </c>
      <c r="M145" s="7"/>
      <c r="N145" s="7">
        <f t="shared" si="95"/>
        <v>0</v>
      </c>
      <c r="O145" s="32">
        <f t="shared" si="96"/>
        <v>0</v>
      </c>
      <c r="P145" s="32"/>
      <c r="Q145" s="32">
        <f t="shared" si="97"/>
        <v>6387748</v>
      </c>
      <c r="R145" s="32">
        <f t="shared" si="103"/>
        <v>6387748</v>
      </c>
      <c r="S145" s="32">
        <f t="shared" si="104"/>
        <v>0</v>
      </c>
      <c r="T145" s="32">
        <f t="shared" si="98"/>
        <v>0</v>
      </c>
      <c r="U145" s="32">
        <f t="shared" si="130"/>
        <v>0</v>
      </c>
      <c r="V145" s="32">
        <f t="shared" si="130"/>
        <v>0</v>
      </c>
      <c r="W145" s="32">
        <f t="shared" si="130"/>
        <v>0</v>
      </c>
      <c r="X145" s="32">
        <f t="shared" si="105"/>
        <v>0</v>
      </c>
      <c r="Y145" s="32"/>
      <c r="Z145" s="32">
        <f t="shared" si="130"/>
        <v>0</v>
      </c>
      <c r="AA145" s="32">
        <f t="shared" si="130"/>
        <v>0</v>
      </c>
      <c r="AB145" s="32">
        <f t="shared" si="130"/>
        <v>0</v>
      </c>
      <c r="AC145" s="32">
        <f t="shared" si="106"/>
        <v>0</v>
      </c>
      <c r="AD145" s="32"/>
      <c r="AE145" s="32">
        <f t="shared" si="130"/>
        <v>0</v>
      </c>
      <c r="AF145" s="32">
        <f t="shared" si="130"/>
        <v>0</v>
      </c>
      <c r="AG145" s="32">
        <f t="shared" si="130"/>
        <v>0</v>
      </c>
      <c r="AH145" s="32">
        <f t="shared" si="130"/>
        <v>0</v>
      </c>
      <c r="AI145" s="32">
        <f t="shared" si="130"/>
        <v>0</v>
      </c>
      <c r="AJ145" s="32">
        <f t="shared" si="92"/>
        <v>0</v>
      </c>
      <c r="AK145" s="7">
        <v>0</v>
      </c>
      <c r="AL145" s="32">
        <v>0</v>
      </c>
      <c r="AM145" s="32"/>
      <c r="AN145" s="4">
        <v>0</v>
      </c>
      <c r="AO145" s="32">
        <f t="shared" si="107"/>
        <v>0</v>
      </c>
      <c r="AP145" s="32">
        <f t="shared" si="108"/>
        <v>0</v>
      </c>
      <c r="AS145" s="32">
        <f t="shared" si="109"/>
        <v>0</v>
      </c>
      <c r="AT145" s="32">
        <f t="shared" si="99"/>
        <v>0</v>
      </c>
      <c r="AU145" s="32">
        <f t="shared" si="110"/>
        <v>0</v>
      </c>
      <c r="AV145" s="4">
        <f t="shared" si="111"/>
        <v>0</v>
      </c>
      <c r="AW145" s="32">
        <f t="shared" si="112"/>
        <v>0</v>
      </c>
      <c r="AX145" s="4">
        <f t="shared" si="113"/>
        <v>0</v>
      </c>
      <c r="AY145" s="32">
        <f t="shared" si="114"/>
        <v>0</v>
      </c>
      <c r="AZ145" s="4">
        <f t="shared" si="115"/>
        <v>0</v>
      </c>
      <c r="BA145" s="32">
        <f t="shared" si="116"/>
        <v>0</v>
      </c>
      <c r="BB145" s="32">
        <f t="shared" si="100"/>
        <v>0</v>
      </c>
      <c r="BC145" s="32">
        <f t="shared" si="117"/>
        <v>0</v>
      </c>
      <c r="BD145" s="32">
        <f t="shared" si="118"/>
        <v>0</v>
      </c>
      <c r="BF145" s="32">
        <f t="shared" si="119"/>
        <v>0</v>
      </c>
      <c r="BG145" s="32">
        <f t="shared" si="101"/>
        <v>0</v>
      </c>
      <c r="BH145" s="32">
        <f t="shared" si="120"/>
        <v>0</v>
      </c>
      <c r="BI145" s="4">
        <f t="shared" si="121"/>
        <v>0</v>
      </c>
      <c r="BJ145" s="32">
        <f t="shared" si="122"/>
        <v>0</v>
      </c>
      <c r="BK145" s="4">
        <f t="shared" si="123"/>
        <v>0</v>
      </c>
      <c r="BL145" s="32">
        <f t="shared" si="124"/>
        <v>0</v>
      </c>
      <c r="BM145" s="4">
        <f t="shared" si="125"/>
        <v>0</v>
      </c>
      <c r="BN145" s="32">
        <f t="shared" si="126"/>
        <v>0</v>
      </c>
      <c r="BO145" s="4">
        <f t="shared" si="127"/>
        <v>0</v>
      </c>
      <c r="BP145" s="32">
        <f t="shared" si="128"/>
        <v>0</v>
      </c>
      <c r="BQ145" s="32">
        <f t="shared" si="129"/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0</v>
      </c>
      <c r="DN145" s="4">
        <v>0</v>
      </c>
      <c r="DO145" s="4">
        <v>0</v>
      </c>
      <c r="DP145" s="4">
        <v>0</v>
      </c>
      <c r="DQ145" s="4">
        <v>0</v>
      </c>
    </row>
    <row r="146" spans="1:121" x14ac:dyDescent="0.35">
      <c r="A146" s="84">
        <f>'2017 Prop share of contribs'!A142</f>
        <v>155</v>
      </c>
      <c r="B146" s="84" t="str">
        <f>'2017 Prop share of contribs'!B142</f>
        <v xml:space="preserve">DAWSON SPRINGS CITY SCHOOLS  </v>
      </c>
      <c r="C146" s="25" t="s">
        <v>256</v>
      </c>
      <c r="D146" s="33">
        <f>ROUND('Employer Allocations'!G185,8)</f>
        <v>0</v>
      </c>
      <c r="E146" s="4">
        <f>ROUND('Employer Allocations'!H185,8)</f>
        <v>8.6565999999999998E-4</v>
      </c>
      <c r="F146" s="4">
        <f>ROUND('Employer Allocations'!I185,8)</f>
        <v>8.6565999999999998E-4</v>
      </c>
      <c r="G146" s="4">
        <v>0</v>
      </c>
      <c r="H146" s="4">
        <v>8.8610000000000002E-4</v>
      </c>
      <c r="I146" s="4">
        <v>8.8610000000000002E-4</v>
      </c>
      <c r="J146" s="7">
        <f t="shared" si="93"/>
        <v>0</v>
      </c>
      <c r="K146" s="7">
        <f t="shared" si="94"/>
        <v>23357882</v>
      </c>
      <c r="L146" s="7">
        <f t="shared" si="102"/>
        <v>23357882</v>
      </c>
      <c r="M146" s="7"/>
      <c r="N146" s="7">
        <f t="shared" si="95"/>
        <v>0</v>
      </c>
      <c r="O146" s="32">
        <f t="shared" si="96"/>
        <v>0</v>
      </c>
      <c r="P146" s="32"/>
      <c r="Q146" s="32">
        <f t="shared" si="97"/>
        <v>1662723</v>
      </c>
      <c r="R146" s="32">
        <f t="shared" si="103"/>
        <v>1662723</v>
      </c>
      <c r="S146" s="32">
        <f t="shared" si="104"/>
        <v>0</v>
      </c>
      <c r="T146" s="32">
        <f t="shared" si="98"/>
        <v>0</v>
      </c>
      <c r="U146" s="32">
        <f t="shared" si="130"/>
        <v>0</v>
      </c>
      <c r="V146" s="32">
        <f t="shared" si="130"/>
        <v>0</v>
      </c>
      <c r="W146" s="32">
        <f t="shared" si="130"/>
        <v>0</v>
      </c>
      <c r="X146" s="32">
        <f t="shared" si="105"/>
        <v>0</v>
      </c>
      <c r="Y146" s="32"/>
      <c r="Z146" s="32">
        <f t="shared" si="130"/>
        <v>0</v>
      </c>
      <c r="AA146" s="32">
        <f t="shared" si="130"/>
        <v>0</v>
      </c>
      <c r="AB146" s="32">
        <f t="shared" si="130"/>
        <v>0</v>
      </c>
      <c r="AC146" s="32">
        <f t="shared" si="106"/>
        <v>0</v>
      </c>
      <c r="AD146" s="32"/>
      <c r="AE146" s="32">
        <f t="shared" si="130"/>
        <v>0</v>
      </c>
      <c r="AF146" s="32">
        <f t="shared" si="130"/>
        <v>0</v>
      </c>
      <c r="AG146" s="32">
        <f t="shared" si="130"/>
        <v>0</v>
      </c>
      <c r="AH146" s="32">
        <f t="shared" si="130"/>
        <v>0</v>
      </c>
      <c r="AI146" s="32">
        <f t="shared" si="130"/>
        <v>0</v>
      </c>
      <c r="AJ146" s="32">
        <f t="shared" si="130"/>
        <v>0</v>
      </c>
      <c r="AK146" s="7">
        <v>0</v>
      </c>
      <c r="AL146" s="32">
        <v>0</v>
      </c>
      <c r="AM146" s="32"/>
      <c r="AN146" s="4">
        <v>0</v>
      </c>
      <c r="AO146" s="32">
        <f t="shared" si="107"/>
        <v>0</v>
      </c>
      <c r="AP146" s="32">
        <f t="shared" si="108"/>
        <v>0</v>
      </c>
      <c r="AS146" s="32">
        <f t="shared" si="109"/>
        <v>0</v>
      </c>
      <c r="AT146" s="32">
        <f t="shared" si="99"/>
        <v>0</v>
      </c>
      <c r="AU146" s="32">
        <f t="shared" si="110"/>
        <v>0</v>
      </c>
      <c r="AV146" s="4">
        <f t="shared" si="111"/>
        <v>0</v>
      </c>
      <c r="AW146" s="32">
        <f t="shared" si="112"/>
        <v>0</v>
      </c>
      <c r="AX146" s="4">
        <f t="shared" si="113"/>
        <v>0</v>
      </c>
      <c r="AY146" s="32">
        <f t="shared" si="114"/>
        <v>0</v>
      </c>
      <c r="AZ146" s="4">
        <f t="shared" si="115"/>
        <v>0</v>
      </c>
      <c r="BA146" s="32">
        <f t="shared" si="116"/>
        <v>0</v>
      </c>
      <c r="BB146" s="32">
        <f t="shared" si="100"/>
        <v>0</v>
      </c>
      <c r="BC146" s="32">
        <f t="shared" si="117"/>
        <v>0</v>
      </c>
      <c r="BD146" s="32">
        <f t="shared" si="118"/>
        <v>0</v>
      </c>
      <c r="BF146" s="32">
        <f t="shared" si="119"/>
        <v>0</v>
      </c>
      <c r="BG146" s="32">
        <f t="shared" si="101"/>
        <v>0</v>
      </c>
      <c r="BH146" s="32">
        <f t="shared" si="120"/>
        <v>0</v>
      </c>
      <c r="BI146" s="4">
        <f t="shared" si="121"/>
        <v>0</v>
      </c>
      <c r="BJ146" s="32">
        <f t="shared" si="122"/>
        <v>0</v>
      </c>
      <c r="BK146" s="4">
        <f t="shared" si="123"/>
        <v>0</v>
      </c>
      <c r="BL146" s="32">
        <f t="shared" si="124"/>
        <v>0</v>
      </c>
      <c r="BM146" s="4">
        <f t="shared" si="125"/>
        <v>0</v>
      </c>
      <c r="BN146" s="32">
        <f t="shared" si="126"/>
        <v>0</v>
      </c>
      <c r="BO146" s="4">
        <f t="shared" si="127"/>
        <v>0</v>
      </c>
      <c r="BP146" s="32">
        <f t="shared" si="128"/>
        <v>0</v>
      </c>
      <c r="BQ146" s="32">
        <f t="shared" si="129"/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  <c r="DO146" s="4">
        <v>0</v>
      </c>
      <c r="DP146" s="4">
        <v>0</v>
      </c>
      <c r="DQ146" s="4">
        <v>0</v>
      </c>
    </row>
    <row r="147" spans="1:121" x14ac:dyDescent="0.35">
      <c r="A147" s="84">
        <f>'2017 Prop share of contribs'!A143</f>
        <v>156</v>
      </c>
      <c r="B147" s="84" t="str">
        <f>'2017 Prop share of contribs'!B143</f>
        <v xml:space="preserve">DAYTON CITY SCHOOLS  </v>
      </c>
      <c r="C147" s="25" t="s">
        <v>257</v>
      </c>
      <c r="D147" s="33">
        <f>ROUND('Employer Allocations'!G186,8)</f>
        <v>0</v>
      </c>
      <c r="E147" s="4">
        <f>ROUND('Employer Allocations'!H186,8)</f>
        <v>1.37557E-3</v>
      </c>
      <c r="F147" s="4">
        <f>ROUND('Employer Allocations'!I186,8)</f>
        <v>1.37557E-3</v>
      </c>
      <c r="G147" s="4">
        <v>0</v>
      </c>
      <c r="H147" s="4">
        <v>1.38035E-3</v>
      </c>
      <c r="I147" s="4">
        <v>1.38035E-3</v>
      </c>
      <c r="J147" s="7">
        <f t="shared" si="93"/>
        <v>0</v>
      </c>
      <c r="K147" s="7">
        <f t="shared" si="94"/>
        <v>37116653</v>
      </c>
      <c r="L147" s="7">
        <f t="shared" si="102"/>
        <v>37116653</v>
      </c>
      <c r="M147" s="7"/>
      <c r="N147" s="7">
        <f t="shared" si="95"/>
        <v>0</v>
      </c>
      <c r="O147" s="32">
        <f t="shared" si="96"/>
        <v>0</v>
      </c>
      <c r="P147" s="32"/>
      <c r="Q147" s="32">
        <f t="shared" si="97"/>
        <v>2642137</v>
      </c>
      <c r="R147" s="32">
        <f t="shared" si="103"/>
        <v>2642137</v>
      </c>
      <c r="S147" s="32">
        <f t="shared" si="104"/>
        <v>0</v>
      </c>
      <c r="T147" s="32">
        <f t="shared" si="98"/>
        <v>0</v>
      </c>
      <c r="U147" s="32">
        <f t="shared" si="130"/>
        <v>0</v>
      </c>
      <c r="V147" s="32">
        <f t="shared" si="130"/>
        <v>0</v>
      </c>
      <c r="W147" s="32">
        <f t="shared" si="130"/>
        <v>0</v>
      </c>
      <c r="X147" s="32">
        <f t="shared" si="105"/>
        <v>0</v>
      </c>
      <c r="Y147" s="32"/>
      <c r="Z147" s="32">
        <f t="shared" si="130"/>
        <v>0</v>
      </c>
      <c r="AA147" s="32">
        <f t="shared" si="130"/>
        <v>0</v>
      </c>
      <c r="AB147" s="32">
        <f t="shared" si="130"/>
        <v>0</v>
      </c>
      <c r="AC147" s="32">
        <f t="shared" si="106"/>
        <v>0</v>
      </c>
      <c r="AD147" s="32"/>
      <c r="AE147" s="32">
        <f t="shared" si="130"/>
        <v>0</v>
      </c>
      <c r="AF147" s="32">
        <f t="shared" si="130"/>
        <v>0</v>
      </c>
      <c r="AG147" s="32">
        <f t="shared" si="130"/>
        <v>0</v>
      </c>
      <c r="AH147" s="32">
        <f t="shared" si="130"/>
        <v>0</v>
      </c>
      <c r="AI147" s="32">
        <f t="shared" si="130"/>
        <v>0</v>
      </c>
      <c r="AJ147" s="32">
        <f t="shared" si="130"/>
        <v>0</v>
      </c>
      <c r="AK147" s="7">
        <v>0</v>
      </c>
      <c r="AL147" s="32">
        <v>0</v>
      </c>
      <c r="AM147" s="32"/>
      <c r="AN147" s="4">
        <v>0</v>
      </c>
      <c r="AO147" s="32">
        <f t="shared" si="107"/>
        <v>0</v>
      </c>
      <c r="AP147" s="32">
        <f t="shared" si="108"/>
        <v>0</v>
      </c>
      <c r="AS147" s="32">
        <f t="shared" si="109"/>
        <v>0</v>
      </c>
      <c r="AT147" s="32">
        <f t="shared" si="99"/>
        <v>0</v>
      </c>
      <c r="AU147" s="32">
        <f t="shared" si="110"/>
        <v>0</v>
      </c>
      <c r="AV147" s="4">
        <f t="shared" si="111"/>
        <v>0</v>
      </c>
      <c r="AW147" s="32">
        <f t="shared" si="112"/>
        <v>0</v>
      </c>
      <c r="AX147" s="4">
        <f t="shared" si="113"/>
        <v>0</v>
      </c>
      <c r="AY147" s="32">
        <f t="shared" si="114"/>
        <v>0</v>
      </c>
      <c r="AZ147" s="4">
        <f t="shared" si="115"/>
        <v>0</v>
      </c>
      <c r="BA147" s="32">
        <f t="shared" si="116"/>
        <v>0</v>
      </c>
      <c r="BB147" s="32">
        <f t="shared" si="100"/>
        <v>0</v>
      </c>
      <c r="BC147" s="32">
        <f t="shared" si="117"/>
        <v>0</v>
      </c>
      <c r="BD147" s="32">
        <f t="shared" si="118"/>
        <v>0</v>
      </c>
      <c r="BF147" s="32">
        <f t="shared" si="119"/>
        <v>0</v>
      </c>
      <c r="BG147" s="32">
        <f t="shared" si="101"/>
        <v>0</v>
      </c>
      <c r="BH147" s="32">
        <f t="shared" si="120"/>
        <v>0</v>
      </c>
      <c r="BI147" s="4">
        <f t="shared" si="121"/>
        <v>0</v>
      </c>
      <c r="BJ147" s="32">
        <f t="shared" si="122"/>
        <v>0</v>
      </c>
      <c r="BK147" s="4">
        <f t="shared" si="123"/>
        <v>0</v>
      </c>
      <c r="BL147" s="32">
        <f t="shared" si="124"/>
        <v>0</v>
      </c>
      <c r="BM147" s="4">
        <f t="shared" si="125"/>
        <v>0</v>
      </c>
      <c r="BN147" s="32">
        <f t="shared" si="126"/>
        <v>0</v>
      </c>
      <c r="BO147" s="4">
        <f t="shared" si="127"/>
        <v>0</v>
      </c>
      <c r="BP147" s="32">
        <f t="shared" si="128"/>
        <v>0</v>
      </c>
      <c r="BQ147" s="32">
        <f t="shared" si="129"/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  <c r="DO147" s="4">
        <v>0</v>
      </c>
      <c r="DP147" s="4">
        <v>0</v>
      </c>
      <c r="DQ147" s="4">
        <v>0</v>
      </c>
    </row>
    <row r="148" spans="1:121" x14ac:dyDescent="0.35">
      <c r="A148" s="84">
        <f>'2017 Prop share of contribs'!A144</f>
        <v>158</v>
      </c>
      <c r="B148" s="84" t="str">
        <f>'2017 Prop share of contribs'!B144</f>
        <v xml:space="preserve">EAST BERNSTADT CITY SCHOOLS  </v>
      </c>
      <c r="C148" s="25" t="s">
        <v>258</v>
      </c>
      <c r="D148" s="33">
        <f>ROUND('Employer Allocations'!G187,8)</f>
        <v>0</v>
      </c>
      <c r="E148" s="4">
        <f>ROUND('Employer Allocations'!H187,8)</f>
        <v>6.6067000000000003E-4</v>
      </c>
      <c r="F148" s="4">
        <f>ROUND('Employer Allocations'!I187,8)</f>
        <v>6.6067000000000003E-4</v>
      </c>
      <c r="G148" s="4">
        <v>0</v>
      </c>
      <c r="H148" s="4">
        <v>6.7137000000000002E-4</v>
      </c>
      <c r="I148" s="4">
        <v>6.7137000000000002E-4</v>
      </c>
      <c r="J148" s="7">
        <f t="shared" si="93"/>
        <v>0</v>
      </c>
      <c r="K148" s="7">
        <f t="shared" si="94"/>
        <v>17826690</v>
      </c>
      <c r="L148" s="7">
        <f t="shared" si="102"/>
        <v>17826690</v>
      </c>
      <c r="M148" s="7"/>
      <c r="N148" s="7">
        <f t="shared" si="95"/>
        <v>0</v>
      </c>
      <c r="O148" s="32">
        <f t="shared" si="96"/>
        <v>0</v>
      </c>
      <c r="P148" s="32"/>
      <c r="Q148" s="32">
        <f t="shared" si="97"/>
        <v>1268987</v>
      </c>
      <c r="R148" s="32">
        <f t="shared" si="103"/>
        <v>1268987</v>
      </c>
      <c r="S148" s="32">
        <f t="shared" si="104"/>
        <v>0</v>
      </c>
      <c r="T148" s="32">
        <f t="shared" si="98"/>
        <v>0</v>
      </c>
      <c r="U148" s="32">
        <f t="shared" si="130"/>
        <v>0</v>
      </c>
      <c r="V148" s="32">
        <f t="shared" si="130"/>
        <v>0</v>
      </c>
      <c r="W148" s="32">
        <f t="shared" si="130"/>
        <v>0</v>
      </c>
      <c r="X148" s="32">
        <f t="shared" si="105"/>
        <v>0</v>
      </c>
      <c r="Y148" s="32"/>
      <c r="Z148" s="32">
        <f t="shared" si="130"/>
        <v>0</v>
      </c>
      <c r="AA148" s="32">
        <f t="shared" si="130"/>
        <v>0</v>
      </c>
      <c r="AB148" s="32">
        <f t="shared" si="130"/>
        <v>0</v>
      </c>
      <c r="AC148" s="32">
        <f t="shared" si="106"/>
        <v>0</v>
      </c>
      <c r="AD148" s="32"/>
      <c r="AE148" s="32">
        <f t="shared" si="130"/>
        <v>0</v>
      </c>
      <c r="AF148" s="32">
        <f t="shared" si="130"/>
        <v>0</v>
      </c>
      <c r="AG148" s="32">
        <f t="shared" si="130"/>
        <v>0</v>
      </c>
      <c r="AH148" s="32">
        <f t="shared" si="130"/>
        <v>0</v>
      </c>
      <c r="AI148" s="32">
        <f t="shared" si="130"/>
        <v>0</v>
      </c>
      <c r="AJ148" s="32">
        <f t="shared" si="130"/>
        <v>0</v>
      </c>
      <c r="AK148" s="7">
        <v>0</v>
      </c>
      <c r="AL148" s="32">
        <v>0</v>
      </c>
      <c r="AM148" s="32"/>
      <c r="AN148" s="4">
        <v>0</v>
      </c>
      <c r="AO148" s="32">
        <f t="shared" si="107"/>
        <v>0</v>
      </c>
      <c r="AP148" s="32">
        <f t="shared" si="108"/>
        <v>0</v>
      </c>
      <c r="AS148" s="32">
        <f t="shared" si="109"/>
        <v>0</v>
      </c>
      <c r="AT148" s="32">
        <f t="shared" si="99"/>
        <v>0</v>
      </c>
      <c r="AU148" s="32">
        <f t="shared" si="110"/>
        <v>0</v>
      </c>
      <c r="AV148" s="4">
        <f t="shared" si="111"/>
        <v>0</v>
      </c>
      <c r="AW148" s="32">
        <f t="shared" si="112"/>
        <v>0</v>
      </c>
      <c r="AX148" s="4">
        <f t="shared" si="113"/>
        <v>0</v>
      </c>
      <c r="AY148" s="32">
        <f t="shared" si="114"/>
        <v>0</v>
      </c>
      <c r="AZ148" s="4">
        <f t="shared" si="115"/>
        <v>0</v>
      </c>
      <c r="BA148" s="32">
        <f t="shared" si="116"/>
        <v>0</v>
      </c>
      <c r="BB148" s="32">
        <f t="shared" si="100"/>
        <v>0</v>
      </c>
      <c r="BC148" s="32">
        <f t="shared" si="117"/>
        <v>0</v>
      </c>
      <c r="BD148" s="32">
        <f t="shared" si="118"/>
        <v>0</v>
      </c>
      <c r="BF148" s="32">
        <f t="shared" si="119"/>
        <v>0</v>
      </c>
      <c r="BG148" s="32">
        <f t="shared" si="101"/>
        <v>0</v>
      </c>
      <c r="BH148" s="32">
        <f t="shared" si="120"/>
        <v>0</v>
      </c>
      <c r="BI148" s="4">
        <f t="shared" si="121"/>
        <v>0</v>
      </c>
      <c r="BJ148" s="32">
        <f t="shared" si="122"/>
        <v>0</v>
      </c>
      <c r="BK148" s="4">
        <f t="shared" si="123"/>
        <v>0</v>
      </c>
      <c r="BL148" s="32">
        <f t="shared" si="124"/>
        <v>0</v>
      </c>
      <c r="BM148" s="4">
        <f t="shared" si="125"/>
        <v>0</v>
      </c>
      <c r="BN148" s="32">
        <f t="shared" si="126"/>
        <v>0</v>
      </c>
      <c r="BO148" s="4">
        <f t="shared" si="127"/>
        <v>0</v>
      </c>
      <c r="BP148" s="32">
        <f t="shared" si="128"/>
        <v>0</v>
      </c>
      <c r="BQ148" s="32">
        <f t="shared" si="129"/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  <c r="DO148" s="4">
        <v>0</v>
      </c>
      <c r="DP148" s="4">
        <v>0</v>
      </c>
      <c r="DQ148" s="4">
        <v>0</v>
      </c>
    </row>
    <row r="149" spans="1:121" x14ac:dyDescent="0.35">
      <c r="A149" s="84">
        <f>'2017 Prop share of contribs'!A145</f>
        <v>160</v>
      </c>
      <c r="B149" s="84" t="str">
        <f>'2017 Prop share of contribs'!B145</f>
        <v xml:space="preserve">ELIZABETHTOWN CITY SCHOOLS  </v>
      </c>
      <c r="C149" s="25" t="s">
        <v>259</v>
      </c>
      <c r="D149" s="33">
        <f>ROUND('Employer Allocations'!G188,8)</f>
        <v>0</v>
      </c>
      <c r="E149" s="4">
        <f>ROUND('Employer Allocations'!H188,8)</f>
        <v>3.5461400000000001E-3</v>
      </c>
      <c r="F149" s="4">
        <f>ROUND('Employer Allocations'!I188,8)</f>
        <v>3.5461400000000001E-3</v>
      </c>
      <c r="G149" s="4">
        <v>0</v>
      </c>
      <c r="H149" s="4">
        <v>3.5563399999999998E-3</v>
      </c>
      <c r="I149" s="4">
        <v>3.5563399999999998E-3</v>
      </c>
      <c r="J149" s="7">
        <f t="shared" si="93"/>
        <v>0</v>
      </c>
      <c r="K149" s="7">
        <f t="shared" si="94"/>
        <v>95684588</v>
      </c>
      <c r="L149" s="7">
        <f t="shared" si="102"/>
        <v>95684588</v>
      </c>
      <c r="M149" s="7"/>
      <c r="N149" s="7">
        <f t="shared" si="95"/>
        <v>0</v>
      </c>
      <c r="O149" s="32">
        <f t="shared" si="96"/>
        <v>0</v>
      </c>
      <c r="P149" s="32"/>
      <c r="Q149" s="32">
        <f t="shared" si="97"/>
        <v>6811276</v>
      </c>
      <c r="R149" s="32">
        <f t="shared" si="103"/>
        <v>6811276</v>
      </c>
      <c r="S149" s="32">
        <f t="shared" si="104"/>
        <v>0</v>
      </c>
      <c r="T149" s="32">
        <f t="shared" si="98"/>
        <v>0</v>
      </c>
      <c r="U149" s="32">
        <f t="shared" si="130"/>
        <v>0</v>
      </c>
      <c r="V149" s="32">
        <f t="shared" si="130"/>
        <v>0</v>
      </c>
      <c r="W149" s="32">
        <f t="shared" si="130"/>
        <v>0</v>
      </c>
      <c r="X149" s="32">
        <f t="shared" si="105"/>
        <v>0</v>
      </c>
      <c r="Y149" s="32"/>
      <c r="Z149" s="32">
        <f t="shared" si="130"/>
        <v>0</v>
      </c>
      <c r="AA149" s="32">
        <f t="shared" si="130"/>
        <v>0</v>
      </c>
      <c r="AB149" s="32">
        <f t="shared" si="130"/>
        <v>0</v>
      </c>
      <c r="AC149" s="32">
        <f t="shared" si="106"/>
        <v>0</v>
      </c>
      <c r="AD149" s="32"/>
      <c r="AE149" s="32">
        <f t="shared" si="130"/>
        <v>0</v>
      </c>
      <c r="AF149" s="32">
        <f t="shared" si="130"/>
        <v>0</v>
      </c>
      <c r="AG149" s="32">
        <f t="shared" si="130"/>
        <v>0</v>
      </c>
      <c r="AH149" s="32">
        <f t="shared" si="130"/>
        <v>0</v>
      </c>
      <c r="AI149" s="32">
        <f t="shared" si="130"/>
        <v>0</v>
      </c>
      <c r="AJ149" s="32">
        <f t="shared" si="130"/>
        <v>0</v>
      </c>
      <c r="AK149" s="7">
        <v>0</v>
      </c>
      <c r="AL149" s="32">
        <v>0</v>
      </c>
      <c r="AM149" s="32"/>
      <c r="AN149" s="4">
        <v>0</v>
      </c>
      <c r="AO149" s="32">
        <f t="shared" si="107"/>
        <v>0</v>
      </c>
      <c r="AP149" s="32">
        <f t="shared" si="108"/>
        <v>0</v>
      </c>
      <c r="AS149" s="32">
        <f t="shared" si="109"/>
        <v>0</v>
      </c>
      <c r="AT149" s="32">
        <f t="shared" si="99"/>
        <v>0</v>
      </c>
      <c r="AU149" s="32">
        <f t="shared" si="110"/>
        <v>0</v>
      </c>
      <c r="AV149" s="4">
        <f t="shared" si="111"/>
        <v>0</v>
      </c>
      <c r="AW149" s="32">
        <f t="shared" si="112"/>
        <v>0</v>
      </c>
      <c r="AX149" s="4">
        <f t="shared" si="113"/>
        <v>0</v>
      </c>
      <c r="AY149" s="32">
        <f t="shared" si="114"/>
        <v>0</v>
      </c>
      <c r="AZ149" s="4">
        <f t="shared" si="115"/>
        <v>0</v>
      </c>
      <c r="BA149" s="32">
        <f t="shared" si="116"/>
        <v>0</v>
      </c>
      <c r="BB149" s="32">
        <f t="shared" si="100"/>
        <v>0</v>
      </c>
      <c r="BC149" s="32">
        <f t="shared" si="117"/>
        <v>0</v>
      </c>
      <c r="BD149" s="32">
        <f t="shared" si="118"/>
        <v>0</v>
      </c>
      <c r="BF149" s="32">
        <f t="shared" si="119"/>
        <v>0</v>
      </c>
      <c r="BG149" s="32">
        <f t="shared" si="101"/>
        <v>0</v>
      </c>
      <c r="BH149" s="32">
        <f t="shared" si="120"/>
        <v>0</v>
      </c>
      <c r="BI149" s="4">
        <f t="shared" si="121"/>
        <v>0</v>
      </c>
      <c r="BJ149" s="32">
        <f t="shared" si="122"/>
        <v>0</v>
      </c>
      <c r="BK149" s="4">
        <f t="shared" si="123"/>
        <v>0</v>
      </c>
      <c r="BL149" s="32">
        <f t="shared" si="124"/>
        <v>0</v>
      </c>
      <c r="BM149" s="4">
        <f t="shared" si="125"/>
        <v>0</v>
      </c>
      <c r="BN149" s="32">
        <f t="shared" si="126"/>
        <v>0</v>
      </c>
      <c r="BO149" s="4">
        <f t="shared" si="127"/>
        <v>0</v>
      </c>
      <c r="BP149" s="32">
        <f t="shared" si="128"/>
        <v>0</v>
      </c>
      <c r="BQ149" s="32">
        <f t="shared" si="129"/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  <c r="DO149" s="4">
        <v>0</v>
      </c>
      <c r="DP149" s="4">
        <v>0</v>
      </c>
      <c r="DQ149" s="4">
        <v>0</v>
      </c>
    </row>
    <row r="150" spans="1:121" x14ac:dyDescent="0.35">
      <c r="A150" s="84">
        <f>'2017 Prop share of contribs'!A146</f>
        <v>161</v>
      </c>
      <c r="B150" s="84" t="str">
        <f>'2017 Prop share of contribs'!B146</f>
        <v xml:space="preserve">EMINENCE INDEPENDENT SCHOOLS  </v>
      </c>
      <c r="C150" s="25" t="s">
        <v>260</v>
      </c>
      <c r="D150" s="33">
        <f>ROUND('Employer Allocations'!G189,8)</f>
        <v>0</v>
      </c>
      <c r="E150" s="4">
        <f>ROUND('Employer Allocations'!H189,8)</f>
        <v>1.10658E-3</v>
      </c>
      <c r="F150" s="4">
        <f>ROUND('Employer Allocations'!I189,8)</f>
        <v>1.10658E-3</v>
      </c>
      <c r="G150" s="4">
        <v>0</v>
      </c>
      <c r="H150" s="4">
        <v>1.0697E-3</v>
      </c>
      <c r="I150" s="4">
        <v>1.0697E-3</v>
      </c>
      <c r="J150" s="7">
        <f t="shared" si="93"/>
        <v>0</v>
      </c>
      <c r="K150" s="7">
        <f t="shared" si="94"/>
        <v>29858565</v>
      </c>
      <c r="L150" s="7">
        <f t="shared" si="102"/>
        <v>29858565</v>
      </c>
      <c r="M150" s="7"/>
      <c r="N150" s="7">
        <f t="shared" si="95"/>
        <v>0</v>
      </c>
      <c r="O150" s="32">
        <f t="shared" si="96"/>
        <v>0</v>
      </c>
      <c r="P150" s="32"/>
      <c r="Q150" s="32">
        <f t="shared" si="97"/>
        <v>2125472</v>
      </c>
      <c r="R150" s="32">
        <f t="shared" si="103"/>
        <v>2125472</v>
      </c>
      <c r="S150" s="32">
        <f t="shared" si="104"/>
        <v>0</v>
      </c>
      <c r="T150" s="32">
        <f t="shared" si="98"/>
        <v>0</v>
      </c>
      <c r="U150" s="32">
        <f t="shared" ref="U150:AJ165" si="131">ROUND(U$2*$D150,0)</f>
        <v>0</v>
      </c>
      <c r="V150" s="32">
        <f t="shared" si="131"/>
        <v>0</v>
      </c>
      <c r="W150" s="32">
        <f t="shared" si="131"/>
        <v>0</v>
      </c>
      <c r="X150" s="32">
        <f t="shared" si="105"/>
        <v>0</v>
      </c>
      <c r="Y150" s="32"/>
      <c r="Z150" s="32">
        <f t="shared" si="131"/>
        <v>0</v>
      </c>
      <c r="AA150" s="32">
        <f t="shared" si="131"/>
        <v>0</v>
      </c>
      <c r="AB150" s="32">
        <f t="shared" si="131"/>
        <v>0</v>
      </c>
      <c r="AC150" s="32">
        <f t="shared" si="106"/>
        <v>0</v>
      </c>
      <c r="AD150" s="32"/>
      <c r="AE150" s="32">
        <f t="shared" si="131"/>
        <v>0</v>
      </c>
      <c r="AF150" s="32">
        <f t="shared" si="131"/>
        <v>0</v>
      </c>
      <c r="AG150" s="32">
        <f t="shared" si="131"/>
        <v>0</v>
      </c>
      <c r="AH150" s="32">
        <f t="shared" si="131"/>
        <v>0</v>
      </c>
      <c r="AI150" s="32">
        <f t="shared" si="131"/>
        <v>0</v>
      </c>
      <c r="AJ150" s="32">
        <f t="shared" si="130"/>
        <v>0</v>
      </c>
      <c r="AK150" s="7">
        <v>0</v>
      </c>
      <c r="AL150" s="32">
        <v>0</v>
      </c>
      <c r="AM150" s="32"/>
      <c r="AN150" s="4">
        <v>0</v>
      </c>
      <c r="AO150" s="32">
        <f t="shared" si="107"/>
        <v>0</v>
      </c>
      <c r="AP150" s="32">
        <f t="shared" si="108"/>
        <v>0</v>
      </c>
      <c r="AS150" s="32">
        <f t="shared" si="109"/>
        <v>0</v>
      </c>
      <c r="AT150" s="32">
        <f t="shared" si="99"/>
        <v>0</v>
      </c>
      <c r="AU150" s="32">
        <f t="shared" si="110"/>
        <v>0</v>
      </c>
      <c r="AV150" s="4">
        <f t="shared" si="111"/>
        <v>0</v>
      </c>
      <c r="AW150" s="32">
        <f t="shared" si="112"/>
        <v>0</v>
      </c>
      <c r="AX150" s="4">
        <f t="shared" si="113"/>
        <v>0</v>
      </c>
      <c r="AY150" s="32">
        <f t="shared" si="114"/>
        <v>0</v>
      </c>
      <c r="AZ150" s="4">
        <f t="shared" si="115"/>
        <v>0</v>
      </c>
      <c r="BA150" s="32">
        <f t="shared" si="116"/>
        <v>0</v>
      </c>
      <c r="BB150" s="32">
        <f t="shared" si="100"/>
        <v>0</v>
      </c>
      <c r="BC150" s="32">
        <f t="shared" si="117"/>
        <v>0</v>
      </c>
      <c r="BD150" s="32">
        <f t="shared" si="118"/>
        <v>0</v>
      </c>
      <c r="BF150" s="32">
        <f t="shared" si="119"/>
        <v>0</v>
      </c>
      <c r="BG150" s="32">
        <f t="shared" si="101"/>
        <v>0</v>
      </c>
      <c r="BH150" s="32">
        <f t="shared" si="120"/>
        <v>0</v>
      </c>
      <c r="BI150" s="4">
        <f t="shared" si="121"/>
        <v>0</v>
      </c>
      <c r="BJ150" s="32">
        <f t="shared" si="122"/>
        <v>0</v>
      </c>
      <c r="BK150" s="4">
        <f t="shared" si="123"/>
        <v>0</v>
      </c>
      <c r="BL150" s="32">
        <f t="shared" si="124"/>
        <v>0</v>
      </c>
      <c r="BM150" s="4">
        <f t="shared" si="125"/>
        <v>0</v>
      </c>
      <c r="BN150" s="32">
        <f t="shared" si="126"/>
        <v>0</v>
      </c>
      <c r="BO150" s="4">
        <f t="shared" si="127"/>
        <v>0</v>
      </c>
      <c r="BP150" s="32">
        <f t="shared" si="128"/>
        <v>0</v>
      </c>
      <c r="BQ150" s="32">
        <f t="shared" si="129"/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  <c r="DO150" s="4">
        <v>0</v>
      </c>
      <c r="DP150" s="4">
        <v>0</v>
      </c>
      <c r="DQ150" s="4">
        <v>0</v>
      </c>
    </row>
    <row r="151" spans="1:121" x14ac:dyDescent="0.35">
      <c r="A151" s="84">
        <f>'2017 Prop share of contribs'!A147</f>
        <v>162</v>
      </c>
      <c r="B151" s="84" t="str">
        <f>'2017 Prop share of contribs'!B147</f>
        <v xml:space="preserve">ERLANGER-ELSMERE CITY SCHOOLS  </v>
      </c>
      <c r="C151" s="25" t="s">
        <v>261</v>
      </c>
      <c r="D151" s="33">
        <f>ROUND('Employer Allocations'!G190,8)</f>
        <v>0</v>
      </c>
      <c r="E151" s="4">
        <f>ROUND('Employer Allocations'!H190,8)</f>
        <v>3.5543699999999998E-3</v>
      </c>
      <c r="F151" s="4">
        <f>ROUND('Employer Allocations'!I190,8)</f>
        <v>3.5543699999999998E-3</v>
      </c>
      <c r="G151" s="4">
        <v>0</v>
      </c>
      <c r="H151" s="4">
        <v>3.5197800000000001E-3</v>
      </c>
      <c r="I151" s="4">
        <v>3.5197800000000001E-3</v>
      </c>
      <c r="J151" s="7">
        <f t="shared" si="93"/>
        <v>0</v>
      </c>
      <c r="K151" s="7">
        <f t="shared" si="94"/>
        <v>95906656</v>
      </c>
      <c r="L151" s="7">
        <f t="shared" si="102"/>
        <v>95906656</v>
      </c>
      <c r="M151" s="7"/>
      <c r="N151" s="7">
        <f t="shared" si="95"/>
        <v>0</v>
      </c>
      <c r="O151" s="32">
        <f t="shared" si="96"/>
        <v>0</v>
      </c>
      <c r="P151" s="32"/>
      <c r="Q151" s="32">
        <f t="shared" si="97"/>
        <v>6827083</v>
      </c>
      <c r="R151" s="32">
        <f t="shared" si="103"/>
        <v>6827083</v>
      </c>
      <c r="S151" s="32">
        <f t="shared" si="104"/>
        <v>0</v>
      </c>
      <c r="T151" s="32">
        <f t="shared" si="98"/>
        <v>0</v>
      </c>
      <c r="U151" s="32">
        <f t="shared" si="131"/>
        <v>0</v>
      </c>
      <c r="V151" s="32">
        <f t="shared" si="131"/>
        <v>0</v>
      </c>
      <c r="W151" s="32">
        <f t="shared" si="131"/>
        <v>0</v>
      </c>
      <c r="X151" s="32">
        <f t="shared" si="105"/>
        <v>0</v>
      </c>
      <c r="Y151" s="32"/>
      <c r="Z151" s="32">
        <f t="shared" si="131"/>
        <v>0</v>
      </c>
      <c r="AA151" s="32">
        <f t="shared" si="131"/>
        <v>0</v>
      </c>
      <c r="AB151" s="32">
        <f t="shared" si="131"/>
        <v>0</v>
      </c>
      <c r="AC151" s="32">
        <f t="shared" si="106"/>
        <v>0</v>
      </c>
      <c r="AD151" s="32"/>
      <c r="AE151" s="32">
        <f t="shared" si="131"/>
        <v>0</v>
      </c>
      <c r="AF151" s="32">
        <f t="shared" si="131"/>
        <v>0</v>
      </c>
      <c r="AG151" s="32">
        <f t="shared" si="131"/>
        <v>0</v>
      </c>
      <c r="AH151" s="32">
        <f t="shared" si="131"/>
        <v>0</v>
      </c>
      <c r="AI151" s="32">
        <f t="shared" si="131"/>
        <v>0</v>
      </c>
      <c r="AJ151" s="32">
        <f t="shared" si="130"/>
        <v>0</v>
      </c>
      <c r="AK151" s="7">
        <v>0</v>
      </c>
      <c r="AL151" s="32">
        <v>0</v>
      </c>
      <c r="AM151" s="32"/>
      <c r="AN151" s="4">
        <v>0</v>
      </c>
      <c r="AO151" s="32">
        <f t="shared" si="107"/>
        <v>0</v>
      </c>
      <c r="AP151" s="32">
        <f t="shared" si="108"/>
        <v>0</v>
      </c>
      <c r="AS151" s="32">
        <f t="shared" si="109"/>
        <v>0</v>
      </c>
      <c r="AT151" s="32">
        <f t="shared" si="99"/>
        <v>0</v>
      </c>
      <c r="AU151" s="32">
        <f t="shared" si="110"/>
        <v>0</v>
      </c>
      <c r="AV151" s="4">
        <f t="shared" si="111"/>
        <v>0</v>
      </c>
      <c r="AW151" s="32">
        <f t="shared" si="112"/>
        <v>0</v>
      </c>
      <c r="AX151" s="4">
        <f t="shared" si="113"/>
        <v>0</v>
      </c>
      <c r="AY151" s="32">
        <f t="shared" si="114"/>
        <v>0</v>
      </c>
      <c r="AZ151" s="4">
        <f t="shared" si="115"/>
        <v>0</v>
      </c>
      <c r="BA151" s="32">
        <f t="shared" si="116"/>
        <v>0</v>
      </c>
      <c r="BB151" s="32">
        <f t="shared" si="100"/>
        <v>0</v>
      </c>
      <c r="BC151" s="32">
        <f t="shared" si="117"/>
        <v>0</v>
      </c>
      <c r="BD151" s="32">
        <f t="shared" si="118"/>
        <v>0</v>
      </c>
      <c r="BF151" s="32">
        <f t="shared" si="119"/>
        <v>0</v>
      </c>
      <c r="BG151" s="32">
        <f t="shared" si="101"/>
        <v>0</v>
      </c>
      <c r="BH151" s="32">
        <f t="shared" si="120"/>
        <v>0</v>
      </c>
      <c r="BI151" s="4">
        <f t="shared" si="121"/>
        <v>0</v>
      </c>
      <c r="BJ151" s="32">
        <f t="shared" si="122"/>
        <v>0</v>
      </c>
      <c r="BK151" s="4">
        <f t="shared" si="123"/>
        <v>0</v>
      </c>
      <c r="BL151" s="32">
        <f t="shared" si="124"/>
        <v>0</v>
      </c>
      <c r="BM151" s="4">
        <f t="shared" si="125"/>
        <v>0</v>
      </c>
      <c r="BN151" s="32">
        <f t="shared" si="126"/>
        <v>0</v>
      </c>
      <c r="BO151" s="4">
        <f t="shared" si="127"/>
        <v>0</v>
      </c>
      <c r="BP151" s="32">
        <f t="shared" si="128"/>
        <v>0</v>
      </c>
      <c r="BQ151" s="32">
        <f t="shared" si="129"/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  <c r="DO151" s="4">
        <v>0</v>
      </c>
      <c r="DP151" s="4">
        <v>0</v>
      </c>
      <c r="DQ151" s="4">
        <v>0</v>
      </c>
    </row>
    <row r="152" spans="1:121" x14ac:dyDescent="0.35">
      <c r="A152" s="84">
        <f>'2017 Prop share of contribs'!A148</f>
        <v>163</v>
      </c>
      <c r="B152" s="84" t="str">
        <f>'2017 Prop share of contribs'!B148</f>
        <v xml:space="preserve">FAIRVIEW INDEPENDENT SCHOOLS  </v>
      </c>
      <c r="C152" s="25" t="s">
        <v>262</v>
      </c>
      <c r="D152" s="33">
        <f>ROUND('Employer Allocations'!G191,8)</f>
        <v>0</v>
      </c>
      <c r="E152" s="4">
        <f>ROUND('Employer Allocations'!H191,8)</f>
        <v>1.00734E-3</v>
      </c>
      <c r="F152" s="4">
        <f>ROUND('Employer Allocations'!I191,8)</f>
        <v>1.00734E-3</v>
      </c>
      <c r="G152" s="4">
        <v>0</v>
      </c>
      <c r="H152" s="4">
        <v>1.12743E-3</v>
      </c>
      <c r="I152" s="4">
        <v>1.12743E-3</v>
      </c>
      <c r="J152" s="7">
        <f t="shared" si="93"/>
        <v>0</v>
      </c>
      <c r="K152" s="7">
        <f t="shared" si="94"/>
        <v>27180798</v>
      </c>
      <c r="L152" s="7">
        <f t="shared" si="102"/>
        <v>27180798</v>
      </c>
      <c r="M152" s="7"/>
      <c r="N152" s="7">
        <f t="shared" si="95"/>
        <v>0</v>
      </c>
      <c r="O152" s="32">
        <f t="shared" si="96"/>
        <v>0</v>
      </c>
      <c r="P152" s="32"/>
      <c r="Q152" s="32">
        <f t="shared" si="97"/>
        <v>1934856</v>
      </c>
      <c r="R152" s="32">
        <f t="shared" si="103"/>
        <v>1934856</v>
      </c>
      <c r="S152" s="32">
        <f t="shared" si="104"/>
        <v>0</v>
      </c>
      <c r="T152" s="32">
        <f t="shared" si="98"/>
        <v>0</v>
      </c>
      <c r="U152" s="32">
        <f t="shared" si="131"/>
        <v>0</v>
      </c>
      <c r="V152" s="32">
        <f t="shared" si="131"/>
        <v>0</v>
      </c>
      <c r="W152" s="32">
        <f t="shared" si="131"/>
        <v>0</v>
      </c>
      <c r="X152" s="32">
        <f t="shared" si="105"/>
        <v>0</v>
      </c>
      <c r="Y152" s="32"/>
      <c r="Z152" s="32">
        <f t="shared" si="131"/>
        <v>0</v>
      </c>
      <c r="AA152" s="32">
        <f t="shared" si="131"/>
        <v>0</v>
      </c>
      <c r="AB152" s="32">
        <f t="shared" si="131"/>
        <v>0</v>
      </c>
      <c r="AC152" s="32">
        <f t="shared" si="106"/>
        <v>0</v>
      </c>
      <c r="AD152" s="32"/>
      <c r="AE152" s="32">
        <f t="shared" si="131"/>
        <v>0</v>
      </c>
      <c r="AF152" s="32">
        <f t="shared" si="131"/>
        <v>0</v>
      </c>
      <c r="AG152" s="32">
        <f t="shared" si="131"/>
        <v>0</v>
      </c>
      <c r="AH152" s="32">
        <f t="shared" si="131"/>
        <v>0</v>
      </c>
      <c r="AI152" s="32">
        <f t="shared" si="131"/>
        <v>0</v>
      </c>
      <c r="AJ152" s="32">
        <f t="shared" si="130"/>
        <v>0</v>
      </c>
      <c r="AK152" s="7">
        <v>0</v>
      </c>
      <c r="AL152" s="32">
        <v>0</v>
      </c>
      <c r="AM152" s="32"/>
      <c r="AN152" s="4">
        <v>0</v>
      </c>
      <c r="AO152" s="32">
        <f t="shared" si="107"/>
        <v>0</v>
      </c>
      <c r="AP152" s="32">
        <f t="shared" si="108"/>
        <v>0</v>
      </c>
      <c r="AS152" s="32">
        <f t="shared" si="109"/>
        <v>0</v>
      </c>
      <c r="AT152" s="32">
        <f t="shared" si="99"/>
        <v>0</v>
      </c>
      <c r="AU152" s="32">
        <f t="shared" si="110"/>
        <v>0</v>
      </c>
      <c r="AV152" s="4">
        <f t="shared" si="111"/>
        <v>0</v>
      </c>
      <c r="AW152" s="32">
        <f t="shared" si="112"/>
        <v>0</v>
      </c>
      <c r="AX152" s="4">
        <f t="shared" si="113"/>
        <v>0</v>
      </c>
      <c r="AY152" s="32">
        <f t="shared" si="114"/>
        <v>0</v>
      </c>
      <c r="AZ152" s="4">
        <f t="shared" si="115"/>
        <v>0</v>
      </c>
      <c r="BA152" s="32">
        <f t="shared" si="116"/>
        <v>0</v>
      </c>
      <c r="BB152" s="32">
        <f t="shared" si="100"/>
        <v>0</v>
      </c>
      <c r="BC152" s="32">
        <f t="shared" si="117"/>
        <v>0</v>
      </c>
      <c r="BD152" s="32">
        <f t="shared" si="118"/>
        <v>0</v>
      </c>
      <c r="BF152" s="32">
        <f t="shared" si="119"/>
        <v>0</v>
      </c>
      <c r="BG152" s="32">
        <f t="shared" si="101"/>
        <v>0</v>
      </c>
      <c r="BH152" s="32">
        <f t="shared" si="120"/>
        <v>0</v>
      </c>
      <c r="BI152" s="4">
        <f t="shared" si="121"/>
        <v>0</v>
      </c>
      <c r="BJ152" s="32">
        <f t="shared" si="122"/>
        <v>0</v>
      </c>
      <c r="BK152" s="4">
        <f t="shared" si="123"/>
        <v>0</v>
      </c>
      <c r="BL152" s="32">
        <f t="shared" si="124"/>
        <v>0</v>
      </c>
      <c r="BM152" s="4">
        <f t="shared" si="125"/>
        <v>0</v>
      </c>
      <c r="BN152" s="32">
        <f t="shared" si="126"/>
        <v>0</v>
      </c>
      <c r="BO152" s="4">
        <f t="shared" si="127"/>
        <v>0</v>
      </c>
      <c r="BP152" s="32">
        <f t="shared" si="128"/>
        <v>0</v>
      </c>
      <c r="BQ152" s="32">
        <f t="shared" si="129"/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  <c r="DO152" s="4">
        <v>0</v>
      </c>
      <c r="DP152" s="4">
        <v>0</v>
      </c>
      <c r="DQ152" s="4">
        <v>0</v>
      </c>
    </row>
    <row r="153" spans="1:121" x14ac:dyDescent="0.35">
      <c r="A153" s="84">
        <f>'2017 Prop share of contribs'!A149</f>
        <v>166</v>
      </c>
      <c r="B153" s="84" t="str">
        <f>'2017 Prop share of contribs'!B149</f>
        <v xml:space="preserve">FT THOMAS INDEPENDENT SCHOOLS  </v>
      </c>
      <c r="C153" s="25" t="s">
        <v>263</v>
      </c>
      <c r="D153" s="33">
        <f>ROUND('Employer Allocations'!G192,8)</f>
        <v>0</v>
      </c>
      <c r="E153" s="4">
        <f>ROUND('Employer Allocations'!H192,8)</f>
        <v>4.6874000000000004E-3</v>
      </c>
      <c r="F153" s="4">
        <f>ROUND('Employer Allocations'!I192,8)</f>
        <v>4.6874000000000004E-3</v>
      </c>
      <c r="G153" s="4">
        <v>0</v>
      </c>
      <c r="H153" s="4">
        <v>4.62364E-3</v>
      </c>
      <c r="I153" s="4">
        <v>4.62364E-3</v>
      </c>
      <c r="J153" s="7">
        <f t="shared" si="93"/>
        <v>0</v>
      </c>
      <c r="K153" s="7">
        <f t="shared" si="94"/>
        <v>126478915</v>
      </c>
      <c r="L153" s="7">
        <f t="shared" si="102"/>
        <v>126478915</v>
      </c>
      <c r="M153" s="7"/>
      <c r="N153" s="7">
        <f t="shared" si="95"/>
        <v>0</v>
      </c>
      <c r="O153" s="32">
        <f t="shared" si="96"/>
        <v>0</v>
      </c>
      <c r="P153" s="32"/>
      <c r="Q153" s="32">
        <f t="shared" si="97"/>
        <v>9003359</v>
      </c>
      <c r="R153" s="32">
        <f t="shared" si="103"/>
        <v>9003359</v>
      </c>
      <c r="S153" s="32">
        <f t="shared" si="104"/>
        <v>0</v>
      </c>
      <c r="T153" s="32">
        <f t="shared" si="98"/>
        <v>0</v>
      </c>
      <c r="U153" s="32">
        <f t="shared" si="131"/>
        <v>0</v>
      </c>
      <c r="V153" s="32">
        <f t="shared" si="131"/>
        <v>0</v>
      </c>
      <c r="W153" s="32">
        <f t="shared" si="131"/>
        <v>0</v>
      </c>
      <c r="X153" s="32">
        <f t="shared" si="105"/>
        <v>0</v>
      </c>
      <c r="Y153" s="32"/>
      <c r="Z153" s="32">
        <f t="shared" si="131"/>
        <v>0</v>
      </c>
      <c r="AA153" s="32">
        <f t="shared" si="131"/>
        <v>0</v>
      </c>
      <c r="AB153" s="32">
        <f t="shared" si="131"/>
        <v>0</v>
      </c>
      <c r="AC153" s="32">
        <f t="shared" si="106"/>
        <v>0</v>
      </c>
      <c r="AD153" s="32"/>
      <c r="AE153" s="32">
        <f t="shared" si="131"/>
        <v>0</v>
      </c>
      <c r="AF153" s="32">
        <f t="shared" si="131"/>
        <v>0</v>
      </c>
      <c r="AG153" s="32">
        <f t="shared" si="131"/>
        <v>0</v>
      </c>
      <c r="AH153" s="32">
        <f t="shared" si="131"/>
        <v>0</v>
      </c>
      <c r="AI153" s="32">
        <f t="shared" si="131"/>
        <v>0</v>
      </c>
      <c r="AJ153" s="32">
        <f t="shared" si="130"/>
        <v>0</v>
      </c>
      <c r="AK153" s="7">
        <v>0</v>
      </c>
      <c r="AL153" s="32">
        <v>0</v>
      </c>
      <c r="AM153" s="32"/>
      <c r="AN153" s="4">
        <v>0</v>
      </c>
      <c r="AO153" s="32">
        <f t="shared" si="107"/>
        <v>0</v>
      </c>
      <c r="AP153" s="32">
        <f t="shared" si="108"/>
        <v>0</v>
      </c>
      <c r="AS153" s="32">
        <f t="shared" si="109"/>
        <v>0</v>
      </c>
      <c r="AT153" s="32">
        <f t="shared" si="99"/>
        <v>0</v>
      </c>
      <c r="AU153" s="32">
        <f t="shared" si="110"/>
        <v>0</v>
      </c>
      <c r="AV153" s="4">
        <f t="shared" si="111"/>
        <v>0</v>
      </c>
      <c r="AW153" s="32">
        <f t="shared" si="112"/>
        <v>0</v>
      </c>
      <c r="AX153" s="4">
        <f t="shared" si="113"/>
        <v>0</v>
      </c>
      <c r="AY153" s="32">
        <f t="shared" si="114"/>
        <v>0</v>
      </c>
      <c r="AZ153" s="4">
        <f t="shared" si="115"/>
        <v>0</v>
      </c>
      <c r="BA153" s="32">
        <f t="shared" si="116"/>
        <v>0</v>
      </c>
      <c r="BB153" s="32">
        <f t="shared" si="100"/>
        <v>0</v>
      </c>
      <c r="BC153" s="32">
        <f t="shared" si="117"/>
        <v>0</v>
      </c>
      <c r="BD153" s="32">
        <f t="shared" si="118"/>
        <v>0</v>
      </c>
      <c r="BF153" s="32">
        <f t="shared" si="119"/>
        <v>0</v>
      </c>
      <c r="BG153" s="32">
        <f t="shared" si="101"/>
        <v>0</v>
      </c>
      <c r="BH153" s="32">
        <f t="shared" si="120"/>
        <v>0</v>
      </c>
      <c r="BI153" s="4">
        <f t="shared" si="121"/>
        <v>0</v>
      </c>
      <c r="BJ153" s="32">
        <f t="shared" si="122"/>
        <v>0</v>
      </c>
      <c r="BK153" s="4">
        <f t="shared" si="123"/>
        <v>0</v>
      </c>
      <c r="BL153" s="32">
        <f t="shared" si="124"/>
        <v>0</v>
      </c>
      <c r="BM153" s="4">
        <f t="shared" si="125"/>
        <v>0</v>
      </c>
      <c r="BN153" s="32">
        <f t="shared" si="126"/>
        <v>0</v>
      </c>
      <c r="BO153" s="4">
        <f t="shared" si="127"/>
        <v>0</v>
      </c>
      <c r="BP153" s="32">
        <f t="shared" si="128"/>
        <v>0</v>
      </c>
      <c r="BQ153" s="32">
        <f t="shared" si="129"/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  <c r="DO153" s="4">
        <v>0</v>
      </c>
      <c r="DP153" s="4">
        <v>0</v>
      </c>
      <c r="DQ153" s="4">
        <v>0</v>
      </c>
    </row>
    <row r="154" spans="1:121" x14ac:dyDescent="0.35">
      <c r="A154" s="84">
        <f>'2017 Prop share of contribs'!A150</f>
        <v>167</v>
      </c>
      <c r="B154" s="84" t="str">
        <f>'2017 Prop share of contribs'!B150</f>
        <v xml:space="preserve">FRANKFORT CITY SCHOOLS  </v>
      </c>
      <c r="C154" s="25" t="s">
        <v>264</v>
      </c>
      <c r="D154" s="33">
        <f>ROUND('Employer Allocations'!G193,8)</f>
        <v>0</v>
      </c>
      <c r="E154" s="4">
        <f>ROUND('Employer Allocations'!H193,8)</f>
        <v>1.37626E-3</v>
      </c>
      <c r="F154" s="4">
        <f>ROUND('Employer Allocations'!I193,8)</f>
        <v>1.37626E-3</v>
      </c>
      <c r="G154" s="4">
        <v>0</v>
      </c>
      <c r="H154" s="4">
        <v>1.26493E-3</v>
      </c>
      <c r="I154" s="4">
        <v>1.26493E-3</v>
      </c>
      <c r="J154" s="7">
        <f t="shared" si="93"/>
        <v>0</v>
      </c>
      <c r="K154" s="7">
        <f t="shared" si="94"/>
        <v>37135272</v>
      </c>
      <c r="L154" s="7">
        <f t="shared" si="102"/>
        <v>37135272</v>
      </c>
      <c r="M154" s="7"/>
      <c r="N154" s="7">
        <f t="shared" si="95"/>
        <v>0</v>
      </c>
      <c r="O154" s="32">
        <f t="shared" si="96"/>
        <v>0</v>
      </c>
      <c r="P154" s="32"/>
      <c r="Q154" s="32">
        <f t="shared" si="97"/>
        <v>2643462</v>
      </c>
      <c r="R154" s="32">
        <f t="shared" si="103"/>
        <v>2643462</v>
      </c>
      <c r="S154" s="32">
        <f t="shared" si="104"/>
        <v>0</v>
      </c>
      <c r="T154" s="32">
        <f t="shared" si="98"/>
        <v>0</v>
      </c>
      <c r="U154" s="32">
        <f t="shared" si="131"/>
        <v>0</v>
      </c>
      <c r="V154" s="32">
        <f t="shared" si="131"/>
        <v>0</v>
      </c>
      <c r="W154" s="32">
        <f t="shared" si="131"/>
        <v>0</v>
      </c>
      <c r="X154" s="32">
        <f t="shared" si="105"/>
        <v>0</v>
      </c>
      <c r="Y154" s="32"/>
      <c r="Z154" s="32">
        <f t="shared" si="131"/>
        <v>0</v>
      </c>
      <c r="AA154" s="32">
        <f t="shared" si="131"/>
        <v>0</v>
      </c>
      <c r="AB154" s="32">
        <f t="shared" si="131"/>
        <v>0</v>
      </c>
      <c r="AC154" s="32">
        <f t="shared" si="106"/>
        <v>0</v>
      </c>
      <c r="AD154" s="32"/>
      <c r="AE154" s="32">
        <f t="shared" si="131"/>
        <v>0</v>
      </c>
      <c r="AF154" s="32">
        <f t="shared" si="131"/>
        <v>0</v>
      </c>
      <c r="AG154" s="32">
        <f t="shared" si="131"/>
        <v>0</v>
      </c>
      <c r="AH154" s="32">
        <f t="shared" si="131"/>
        <v>0</v>
      </c>
      <c r="AI154" s="32">
        <f t="shared" si="131"/>
        <v>0</v>
      </c>
      <c r="AJ154" s="32">
        <f t="shared" si="130"/>
        <v>0</v>
      </c>
      <c r="AK154" s="7">
        <v>0</v>
      </c>
      <c r="AL154" s="32">
        <v>0</v>
      </c>
      <c r="AM154" s="32"/>
      <c r="AN154" s="4">
        <v>0</v>
      </c>
      <c r="AO154" s="32">
        <f t="shared" si="107"/>
        <v>0</v>
      </c>
      <c r="AP154" s="32">
        <f t="shared" si="108"/>
        <v>0</v>
      </c>
      <c r="AS154" s="32">
        <f t="shared" si="109"/>
        <v>0</v>
      </c>
      <c r="AT154" s="32">
        <f t="shared" si="99"/>
        <v>0</v>
      </c>
      <c r="AU154" s="32">
        <f t="shared" si="110"/>
        <v>0</v>
      </c>
      <c r="AV154" s="4">
        <f t="shared" si="111"/>
        <v>0</v>
      </c>
      <c r="AW154" s="32">
        <f t="shared" si="112"/>
        <v>0</v>
      </c>
      <c r="AX154" s="4">
        <f t="shared" si="113"/>
        <v>0</v>
      </c>
      <c r="AY154" s="32">
        <f t="shared" si="114"/>
        <v>0</v>
      </c>
      <c r="AZ154" s="4">
        <f t="shared" si="115"/>
        <v>0</v>
      </c>
      <c r="BA154" s="32">
        <f t="shared" si="116"/>
        <v>0</v>
      </c>
      <c r="BB154" s="32">
        <f t="shared" si="100"/>
        <v>0</v>
      </c>
      <c r="BC154" s="32">
        <f t="shared" si="117"/>
        <v>0</v>
      </c>
      <c r="BD154" s="32">
        <f t="shared" si="118"/>
        <v>0</v>
      </c>
      <c r="BF154" s="32">
        <f t="shared" si="119"/>
        <v>0</v>
      </c>
      <c r="BG154" s="32">
        <f t="shared" si="101"/>
        <v>0</v>
      </c>
      <c r="BH154" s="32">
        <f t="shared" si="120"/>
        <v>0</v>
      </c>
      <c r="BI154" s="4">
        <f t="shared" si="121"/>
        <v>0</v>
      </c>
      <c r="BJ154" s="32">
        <f t="shared" si="122"/>
        <v>0</v>
      </c>
      <c r="BK154" s="4">
        <f t="shared" si="123"/>
        <v>0</v>
      </c>
      <c r="BL154" s="32">
        <f t="shared" si="124"/>
        <v>0</v>
      </c>
      <c r="BM154" s="4">
        <f t="shared" si="125"/>
        <v>0</v>
      </c>
      <c r="BN154" s="32">
        <f t="shared" si="126"/>
        <v>0</v>
      </c>
      <c r="BO154" s="4">
        <f t="shared" si="127"/>
        <v>0</v>
      </c>
      <c r="BP154" s="32">
        <f t="shared" si="128"/>
        <v>0</v>
      </c>
      <c r="BQ154" s="32">
        <f t="shared" si="129"/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  <c r="DO154" s="4">
        <v>0</v>
      </c>
      <c r="DP154" s="4">
        <v>0</v>
      </c>
      <c r="DQ154" s="4">
        <v>0</v>
      </c>
    </row>
    <row r="155" spans="1:121" x14ac:dyDescent="0.35">
      <c r="A155" s="84">
        <f>'2017 Prop share of contribs'!A151</f>
        <v>170</v>
      </c>
      <c r="B155" s="84" t="str">
        <f>'2017 Prop share of contribs'!B151</f>
        <v xml:space="preserve">FULTON CITY SCHOOLS  </v>
      </c>
      <c r="C155" s="25" t="s">
        <v>265</v>
      </c>
      <c r="D155" s="33">
        <f>ROUND('Employer Allocations'!G194,8)</f>
        <v>0</v>
      </c>
      <c r="E155" s="4">
        <f>ROUND('Employer Allocations'!H194,8)</f>
        <v>5.4535E-4</v>
      </c>
      <c r="F155" s="4">
        <f>ROUND('Employer Allocations'!I194,8)</f>
        <v>5.4535E-4</v>
      </c>
      <c r="G155" s="4">
        <v>0</v>
      </c>
      <c r="H155" s="4">
        <v>5.6375000000000001E-4</v>
      </c>
      <c r="I155" s="4">
        <v>5.6375000000000001E-4</v>
      </c>
      <c r="J155" s="7">
        <f t="shared" si="93"/>
        <v>0</v>
      </c>
      <c r="K155" s="7">
        <f t="shared" si="94"/>
        <v>14715040</v>
      </c>
      <c r="L155" s="7">
        <f t="shared" si="102"/>
        <v>14715040</v>
      </c>
      <c r="M155" s="7"/>
      <c r="N155" s="7">
        <f t="shared" si="95"/>
        <v>0</v>
      </c>
      <c r="O155" s="32">
        <f t="shared" si="96"/>
        <v>0</v>
      </c>
      <c r="P155" s="32"/>
      <c r="Q155" s="32">
        <f t="shared" si="97"/>
        <v>1047485</v>
      </c>
      <c r="R155" s="32">
        <f t="shared" si="103"/>
        <v>1047485</v>
      </c>
      <c r="S155" s="32">
        <f t="shared" si="104"/>
        <v>0</v>
      </c>
      <c r="T155" s="32">
        <f t="shared" si="98"/>
        <v>0</v>
      </c>
      <c r="U155" s="32">
        <f t="shared" si="131"/>
        <v>0</v>
      </c>
      <c r="V155" s="32">
        <f t="shared" si="131"/>
        <v>0</v>
      </c>
      <c r="W155" s="32">
        <f t="shared" si="131"/>
        <v>0</v>
      </c>
      <c r="X155" s="32">
        <f t="shared" si="105"/>
        <v>0</v>
      </c>
      <c r="Y155" s="32"/>
      <c r="Z155" s="32">
        <f t="shared" si="131"/>
        <v>0</v>
      </c>
      <c r="AA155" s="32">
        <f t="shared" si="131"/>
        <v>0</v>
      </c>
      <c r="AB155" s="32">
        <f t="shared" si="131"/>
        <v>0</v>
      </c>
      <c r="AC155" s="32">
        <f t="shared" si="106"/>
        <v>0</v>
      </c>
      <c r="AD155" s="32"/>
      <c r="AE155" s="32">
        <f t="shared" si="131"/>
        <v>0</v>
      </c>
      <c r="AF155" s="32">
        <f t="shared" si="131"/>
        <v>0</v>
      </c>
      <c r="AG155" s="32">
        <f t="shared" si="131"/>
        <v>0</v>
      </c>
      <c r="AH155" s="32">
        <f t="shared" si="131"/>
        <v>0</v>
      </c>
      <c r="AI155" s="32">
        <f t="shared" si="131"/>
        <v>0</v>
      </c>
      <c r="AJ155" s="32">
        <f t="shared" si="130"/>
        <v>0</v>
      </c>
      <c r="AK155" s="7">
        <v>0</v>
      </c>
      <c r="AL155" s="32">
        <v>0</v>
      </c>
      <c r="AM155" s="32"/>
      <c r="AN155" s="4">
        <v>0</v>
      </c>
      <c r="AO155" s="32">
        <f t="shared" si="107"/>
        <v>0</v>
      </c>
      <c r="AP155" s="32">
        <f t="shared" si="108"/>
        <v>0</v>
      </c>
      <c r="AS155" s="32">
        <f t="shared" si="109"/>
        <v>0</v>
      </c>
      <c r="AT155" s="32">
        <f t="shared" si="99"/>
        <v>0</v>
      </c>
      <c r="AU155" s="32">
        <f t="shared" si="110"/>
        <v>0</v>
      </c>
      <c r="AV155" s="4">
        <f t="shared" si="111"/>
        <v>0</v>
      </c>
      <c r="AW155" s="32">
        <f t="shared" si="112"/>
        <v>0</v>
      </c>
      <c r="AX155" s="4">
        <f t="shared" si="113"/>
        <v>0</v>
      </c>
      <c r="AY155" s="32">
        <f t="shared" si="114"/>
        <v>0</v>
      </c>
      <c r="AZ155" s="4">
        <f t="shared" si="115"/>
        <v>0</v>
      </c>
      <c r="BA155" s="32">
        <f t="shared" si="116"/>
        <v>0</v>
      </c>
      <c r="BB155" s="32">
        <f t="shared" si="100"/>
        <v>0</v>
      </c>
      <c r="BC155" s="32">
        <f t="shared" si="117"/>
        <v>0</v>
      </c>
      <c r="BD155" s="32">
        <f t="shared" si="118"/>
        <v>0</v>
      </c>
      <c r="BF155" s="32">
        <f t="shared" si="119"/>
        <v>0</v>
      </c>
      <c r="BG155" s="32">
        <f t="shared" si="101"/>
        <v>0</v>
      </c>
      <c r="BH155" s="32">
        <f t="shared" si="120"/>
        <v>0</v>
      </c>
      <c r="BI155" s="4">
        <f t="shared" si="121"/>
        <v>0</v>
      </c>
      <c r="BJ155" s="32">
        <f t="shared" si="122"/>
        <v>0</v>
      </c>
      <c r="BK155" s="4">
        <f t="shared" si="123"/>
        <v>0</v>
      </c>
      <c r="BL155" s="32">
        <f t="shared" si="124"/>
        <v>0</v>
      </c>
      <c r="BM155" s="4">
        <f t="shared" si="125"/>
        <v>0</v>
      </c>
      <c r="BN155" s="32">
        <f t="shared" si="126"/>
        <v>0</v>
      </c>
      <c r="BO155" s="4">
        <f t="shared" si="127"/>
        <v>0</v>
      </c>
      <c r="BP155" s="32">
        <f t="shared" si="128"/>
        <v>0</v>
      </c>
      <c r="BQ155" s="32">
        <f t="shared" si="129"/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  <c r="DO155" s="4">
        <v>0</v>
      </c>
      <c r="DP155" s="4">
        <v>0</v>
      </c>
      <c r="DQ155" s="4">
        <v>0</v>
      </c>
    </row>
    <row r="156" spans="1:121" x14ac:dyDescent="0.35">
      <c r="A156" s="84">
        <f>'2017 Prop share of contribs'!A152</f>
        <v>173</v>
      </c>
      <c r="B156" s="84" t="str">
        <f>'2017 Prop share of contribs'!B152</f>
        <v xml:space="preserve">GLASGOW CITY SCHOOLS  </v>
      </c>
      <c r="C156" s="25" t="s">
        <v>266</v>
      </c>
      <c r="D156" s="33">
        <f>ROUND('Employer Allocations'!G195,8)</f>
        <v>0</v>
      </c>
      <c r="E156" s="4">
        <f>ROUND('Employer Allocations'!H195,8)</f>
        <v>3.3084400000000002E-3</v>
      </c>
      <c r="F156" s="4">
        <f>ROUND('Employer Allocations'!I195,8)</f>
        <v>3.3084400000000002E-3</v>
      </c>
      <c r="G156" s="4">
        <v>0</v>
      </c>
      <c r="H156" s="4">
        <v>3.13452E-3</v>
      </c>
      <c r="I156" s="4">
        <v>3.13452E-3</v>
      </c>
      <c r="J156" s="7">
        <f t="shared" si="93"/>
        <v>0</v>
      </c>
      <c r="K156" s="7">
        <f t="shared" si="94"/>
        <v>89270790</v>
      </c>
      <c r="L156" s="7">
        <f t="shared" si="102"/>
        <v>89270790</v>
      </c>
      <c r="M156" s="7"/>
      <c r="N156" s="7">
        <f t="shared" si="95"/>
        <v>0</v>
      </c>
      <c r="O156" s="32">
        <f t="shared" si="96"/>
        <v>0</v>
      </c>
      <c r="P156" s="32"/>
      <c r="Q156" s="32">
        <f t="shared" si="97"/>
        <v>6354711</v>
      </c>
      <c r="R156" s="32">
        <f t="shared" si="103"/>
        <v>6354711</v>
      </c>
      <c r="S156" s="32">
        <f t="shared" si="104"/>
        <v>0</v>
      </c>
      <c r="T156" s="32">
        <f t="shared" si="98"/>
        <v>0</v>
      </c>
      <c r="U156" s="32">
        <f t="shared" si="131"/>
        <v>0</v>
      </c>
      <c r="V156" s="32">
        <f t="shared" si="131"/>
        <v>0</v>
      </c>
      <c r="W156" s="32">
        <f t="shared" si="131"/>
        <v>0</v>
      </c>
      <c r="X156" s="32">
        <f t="shared" si="105"/>
        <v>0</v>
      </c>
      <c r="Y156" s="32"/>
      <c r="Z156" s="32">
        <f t="shared" si="131"/>
        <v>0</v>
      </c>
      <c r="AA156" s="32">
        <f t="shared" si="131"/>
        <v>0</v>
      </c>
      <c r="AB156" s="32">
        <f t="shared" si="131"/>
        <v>0</v>
      </c>
      <c r="AC156" s="32">
        <f t="shared" si="106"/>
        <v>0</v>
      </c>
      <c r="AD156" s="32"/>
      <c r="AE156" s="32">
        <f t="shared" si="131"/>
        <v>0</v>
      </c>
      <c r="AF156" s="32">
        <f t="shared" si="131"/>
        <v>0</v>
      </c>
      <c r="AG156" s="32">
        <f t="shared" si="131"/>
        <v>0</v>
      </c>
      <c r="AH156" s="32">
        <f t="shared" si="131"/>
        <v>0</v>
      </c>
      <c r="AI156" s="32">
        <f t="shared" si="131"/>
        <v>0</v>
      </c>
      <c r="AJ156" s="32">
        <f t="shared" si="131"/>
        <v>0</v>
      </c>
      <c r="AK156" s="7">
        <v>0</v>
      </c>
      <c r="AL156" s="32">
        <v>0</v>
      </c>
      <c r="AM156" s="32"/>
      <c r="AN156" s="4">
        <v>0</v>
      </c>
      <c r="AO156" s="32">
        <f t="shared" si="107"/>
        <v>0</v>
      </c>
      <c r="AP156" s="32">
        <f t="shared" si="108"/>
        <v>0</v>
      </c>
      <c r="AS156" s="32">
        <f t="shared" si="109"/>
        <v>0</v>
      </c>
      <c r="AT156" s="32">
        <f t="shared" si="99"/>
        <v>0</v>
      </c>
      <c r="AU156" s="32">
        <f t="shared" si="110"/>
        <v>0</v>
      </c>
      <c r="AV156" s="4">
        <f t="shared" si="111"/>
        <v>0</v>
      </c>
      <c r="AW156" s="32">
        <f t="shared" si="112"/>
        <v>0</v>
      </c>
      <c r="AX156" s="4">
        <f t="shared" si="113"/>
        <v>0</v>
      </c>
      <c r="AY156" s="32">
        <f t="shared" si="114"/>
        <v>0</v>
      </c>
      <c r="AZ156" s="4">
        <f t="shared" si="115"/>
        <v>0</v>
      </c>
      <c r="BA156" s="32">
        <f t="shared" si="116"/>
        <v>0</v>
      </c>
      <c r="BB156" s="32">
        <f t="shared" si="100"/>
        <v>0</v>
      </c>
      <c r="BC156" s="32">
        <f t="shared" si="117"/>
        <v>0</v>
      </c>
      <c r="BD156" s="32">
        <f t="shared" si="118"/>
        <v>0</v>
      </c>
      <c r="BF156" s="32">
        <f t="shared" si="119"/>
        <v>0</v>
      </c>
      <c r="BG156" s="32">
        <f t="shared" si="101"/>
        <v>0</v>
      </c>
      <c r="BH156" s="32">
        <f t="shared" si="120"/>
        <v>0</v>
      </c>
      <c r="BI156" s="4">
        <f t="shared" si="121"/>
        <v>0</v>
      </c>
      <c r="BJ156" s="32">
        <f t="shared" si="122"/>
        <v>0</v>
      </c>
      <c r="BK156" s="4">
        <f t="shared" si="123"/>
        <v>0</v>
      </c>
      <c r="BL156" s="32">
        <f t="shared" si="124"/>
        <v>0</v>
      </c>
      <c r="BM156" s="4">
        <f t="shared" si="125"/>
        <v>0</v>
      </c>
      <c r="BN156" s="32">
        <f t="shared" si="126"/>
        <v>0</v>
      </c>
      <c r="BO156" s="4">
        <f t="shared" si="127"/>
        <v>0</v>
      </c>
      <c r="BP156" s="32">
        <f t="shared" si="128"/>
        <v>0</v>
      </c>
      <c r="BQ156" s="32">
        <f t="shared" si="129"/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  <c r="DO156" s="4">
        <v>0</v>
      </c>
      <c r="DP156" s="4">
        <v>0</v>
      </c>
      <c r="DQ156" s="4">
        <v>0</v>
      </c>
    </row>
    <row r="157" spans="1:121" x14ac:dyDescent="0.35">
      <c r="A157" s="84">
        <f>'2017 Prop share of contribs'!A153</f>
        <v>180</v>
      </c>
      <c r="B157" s="84" t="str">
        <f>'2017 Prop share of contribs'!B153</f>
        <v xml:space="preserve">HARLAN CITY SCHOOLS  </v>
      </c>
      <c r="C157" s="25" t="s">
        <v>267</v>
      </c>
      <c r="D157" s="33">
        <f>ROUND('Employer Allocations'!G196,8)</f>
        <v>0</v>
      </c>
      <c r="E157" s="4">
        <f>ROUND('Employer Allocations'!H196,8)</f>
        <v>9.2486000000000001E-4</v>
      </c>
      <c r="F157" s="4">
        <f>ROUND('Employer Allocations'!I196,8)</f>
        <v>9.2486000000000001E-4</v>
      </c>
      <c r="G157" s="4">
        <v>0</v>
      </c>
      <c r="H157" s="4">
        <v>9.6155000000000003E-4</v>
      </c>
      <c r="I157" s="4">
        <v>9.6155000000000003E-4</v>
      </c>
      <c r="J157" s="7">
        <f t="shared" si="93"/>
        <v>0</v>
      </c>
      <c r="K157" s="7">
        <f t="shared" si="94"/>
        <v>24955261</v>
      </c>
      <c r="L157" s="7">
        <f t="shared" si="102"/>
        <v>24955261</v>
      </c>
      <c r="M157" s="7"/>
      <c r="N157" s="7">
        <f t="shared" si="95"/>
        <v>0</v>
      </c>
      <c r="O157" s="32">
        <f t="shared" si="96"/>
        <v>0</v>
      </c>
      <c r="P157" s="32"/>
      <c r="Q157" s="32">
        <f t="shared" si="97"/>
        <v>1776432</v>
      </c>
      <c r="R157" s="32">
        <f t="shared" si="103"/>
        <v>1776432</v>
      </c>
      <c r="S157" s="32">
        <f t="shared" si="104"/>
        <v>0</v>
      </c>
      <c r="T157" s="32">
        <f t="shared" si="98"/>
        <v>0</v>
      </c>
      <c r="U157" s="32">
        <f t="shared" si="131"/>
        <v>0</v>
      </c>
      <c r="V157" s="32">
        <f t="shared" si="131"/>
        <v>0</v>
      </c>
      <c r="W157" s="32">
        <f t="shared" si="131"/>
        <v>0</v>
      </c>
      <c r="X157" s="32">
        <f t="shared" si="105"/>
        <v>0</v>
      </c>
      <c r="Y157" s="32"/>
      <c r="Z157" s="32">
        <f t="shared" si="131"/>
        <v>0</v>
      </c>
      <c r="AA157" s="32">
        <f t="shared" si="131"/>
        <v>0</v>
      </c>
      <c r="AB157" s="32">
        <f t="shared" si="131"/>
        <v>0</v>
      </c>
      <c r="AC157" s="32">
        <f t="shared" si="106"/>
        <v>0</v>
      </c>
      <c r="AD157" s="32"/>
      <c r="AE157" s="32">
        <f t="shared" si="131"/>
        <v>0</v>
      </c>
      <c r="AF157" s="32">
        <f t="shared" si="131"/>
        <v>0</v>
      </c>
      <c r="AG157" s="32">
        <f t="shared" si="131"/>
        <v>0</v>
      </c>
      <c r="AH157" s="32">
        <f t="shared" si="131"/>
        <v>0</v>
      </c>
      <c r="AI157" s="32">
        <f t="shared" si="131"/>
        <v>0</v>
      </c>
      <c r="AJ157" s="32">
        <f t="shared" si="131"/>
        <v>0</v>
      </c>
      <c r="AK157" s="7">
        <v>0</v>
      </c>
      <c r="AL157" s="32">
        <v>0</v>
      </c>
      <c r="AM157" s="32"/>
      <c r="AN157" s="4">
        <v>0</v>
      </c>
      <c r="AO157" s="32">
        <f t="shared" si="107"/>
        <v>0</v>
      </c>
      <c r="AP157" s="32">
        <f t="shared" si="108"/>
        <v>0</v>
      </c>
      <c r="AS157" s="32">
        <f t="shared" si="109"/>
        <v>0</v>
      </c>
      <c r="AT157" s="32">
        <f t="shared" si="99"/>
        <v>0</v>
      </c>
      <c r="AU157" s="32">
        <f t="shared" si="110"/>
        <v>0</v>
      </c>
      <c r="AV157" s="4">
        <f t="shared" si="111"/>
        <v>0</v>
      </c>
      <c r="AW157" s="32">
        <f t="shared" si="112"/>
        <v>0</v>
      </c>
      <c r="AX157" s="4">
        <f t="shared" si="113"/>
        <v>0</v>
      </c>
      <c r="AY157" s="32">
        <f t="shared" si="114"/>
        <v>0</v>
      </c>
      <c r="AZ157" s="4">
        <f t="shared" si="115"/>
        <v>0</v>
      </c>
      <c r="BA157" s="32">
        <f t="shared" si="116"/>
        <v>0</v>
      </c>
      <c r="BB157" s="32">
        <f t="shared" si="100"/>
        <v>0</v>
      </c>
      <c r="BC157" s="32">
        <f t="shared" si="117"/>
        <v>0</v>
      </c>
      <c r="BD157" s="32">
        <f t="shared" si="118"/>
        <v>0</v>
      </c>
      <c r="BF157" s="32">
        <f t="shared" si="119"/>
        <v>0</v>
      </c>
      <c r="BG157" s="32">
        <f t="shared" si="101"/>
        <v>0</v>
      </c>
      <c r="BH157" s="32">
        <f t="shared" si="120"/>
        <v>0</v>
      </c>
      <c r="BI157" s="4">
        <f t="shared" si="121"/>
        <v>0</v>
      </c>
      <c r="BJ157" s="32">
        <f t="shared" si="122"/>
        <v>0</v>
      </c>
      <c r="BK157" s="4">
        <f t="shared" si="123"/>
        <v>0</v>
      </c>
      <c r="BL157" s="32">
        <f t="shared" si="124"/>
        <v>0</v>
      </c>
      <c r="BM157" s="4">
        <f t="shared" si="125"/>
        <v>0</v>
      </c>
      <c r="BN157" s="32">
        <f t="shared" si="126"/>
        <v>0</v>
      </c>
      <c r="BO157" s="4">
        <f t="shared" si="127"/>
        <v>0</v>
      </c>
      <c r="BP157" s="32">
        <f t="shared" si="128"/>
        <v>0</v>
      </c>
      <c r="BQ157" s="32">
        <f t="shared" si="129"/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  <c r="DO157" s="4">
        <v>0</v>
      </c>
      <c r="DP157" s="4">
        <v>0</v>
      </c>
      <c r="DQ157" s="4">
        <v>0</v>
      </c>
    </row>
    <row r="158" spans="1:121" x14ac:dyDescent="0.35">
      <c r="A158" s="84">
        <f>'2017 Prop share of contribs'!A154</f>
        <v>182</v>
      </c>
      <c r="B158" s="84" t="str">
        <f>'2017 Prop share of contribs'!B154</f>
        <v xml:space="preserve">HAZARD INDEPENDENT SCHOOLS  </v>
      </c>
      <c r="C158" s="25" t="s">
        <v>268</v>
      </c>
      <c r="D158" s="33">
        <f>ROUND('Employer Allocations'!G197,8)</f>
        <v>0</v>
      </c>
      <c r="E158" s="4">
        <f>ROUND('Employer Allocations'!H197,8)</f>
        <v>1.41208E-3</v>
      </c>
      <c r="F158" s="4">
        <f>ROUND('Employer Allocations'!I197,8)</f>
        <v>1.41208E-3</v>
      </c>
      <c r="G158" s="4">
        <v>0</v>
      </c>
      <c r="H158" s="4">
        <v>1.3801900000000001E-3</v>
      </c>
      <c r="I158" s="4">
        <v>1.3801900000000001E-3</v>
      </c>
      <c r="J158" s="7">
        <f t="shared" si="93"/>
        <v>0</v>
      </c>
      <c r="K158" s="7">
        <f t="shared" si="94"/>
        <v>38101793</v>
      </c>
      <c r="L158" s="7">
        <f t="shared" si="102"/>
        <v>38101793</v>
      </c>
      <c r="M158" s="7"/>
      <c r="N158" s="7">
        <f t="shared" si="95"/>
        <v>0</v>
      </c>
      <c r="O158" s="32">
        <f t="shared" si="96"/>
        <v>0</v>
      </c>
      <c r="P158" s="32"/>
      <c r="Q158" s="32">
        <f t="shared" si="97"/>
        <v>2712263</v>
      </c>
      <c r="R158" s="32">
        <f t="shared" si="103"/>
        <v>2712263</v>
      </c>
      <c r="S158" s="32">
        <f t="shared" si="104"/>
        <v>0</v>
      </c>
      <c r="T158" s="32">
        <f t="shared" si="98"/>
        <v>0</v>
      </c>
      <c r="U158" s="32">
        <f t="shared" si="131"/>
        <v>0</v>
      </c>
      <c r="V158" s="32">
        <f t="shared" si="131"/>
        <v>0</v>
      </c>
      <c r="W158" s="32">
        <f t="shared" si="131"/>
        <v>0</v>
      </c>
      <c r="X158" s="32">
        <f t="shared" si="105"/>
        <v>0</v>
      </c>
      <c r="Y158" s="32"/>
      <c r="Z158" s="32">
        <f t="shared" si="131"/>
        <v>0</v>
      </c>
      <c r="AA158" s="32">
        <f t="shared" si="131"/>
        <v>0</v>
      </c>
      <c r="AB158" s="32">
        <f t="shared" si="131"/>
        <v>0</v>
      </c>
      <c r="AC158" s="32">
        <f t="shared" si="106"/>
        <v>0</v>
      </c>
      <c r="AD158" s="32"/>
      <c r="AE158" s="32">
        <f t="shared" si="131"/>
        <v>0</v>
      </c>
      <c r="AF158" s="32">
        <f t="shared" si="131"/>
        <v>0</v>
      </c>
      <c r="AG158" s="32">
        <f t="shared" si="131"/>
        <v>0</v>
      </c>
      <c r="AH158" s="32">
        <f t="shared" si="131"/>
        <v>0</v>
      </c>
      <c r="AI158" s="32">
        <f t="shared" si="131"/>
        <v>0</v>
      </c>
      <c r="AJ158" s="32">
        <f t="shared" si="131"/>
        <v>0</v>
      </c>
      <c r="AK158" s="7">
        <v>0</v>
      </c>
      <c r="AL158" s="32">
        <v>0</v>
      </c>
      <c r="AM158" s="32"/>
      <c r="AN158" s="4">
        <v>0</v>
      </c>
      <c r="AO158" s="32">
        <f t="shared" si="107"/>
        <v>0</v>
      </c>
      <c r="AP158" s="32">
        <f t="shared" si="108"/>
        <v>0</v>
      </c>
      <c r="AS158" s="32">
        <f t="shared" si="109"/>
        <v>0</v>
      </c>
      <c r="AT158" s="32">
        <f t="shared" si="99"/>
        <v>0</v>
      </c>
      <c r="AU158" s="32">
        <f t="shared" si="110"/>
        <v>0</v>
      </c>
      <c r="AV158" s="4">
        <f t="shared" si="111"/>
        <v>0</v>
      </c>
      <c r="AW158" s="32">
        <f t="shared" si="112"/>
        <v>0</v>
      </c>
      <c r="AX158" s="4">
        <f t="shared" si="113"/>
        <v>0</v>
      </c>
      <c r="AY158" s="32">
        <f t="shared" si="114"/>
        <v>0</v>
      </c>
      <c r="AZ158" s="4">
        <f t="shared" si="115"/>
        <v>0</v>
      </c>
      <c r="BA158" s="32">
        <f t="shared" si="116"/>
        <v>0</v>
      </c>
      <c r="BB158" s="32">
        <f t="shared" si="100"/>
        <v>0</v>
      </c>
      <c r="BC158" s="32">
        <f t="shared" si="117"/>
        <v>0</v>
      </c>
      <c r="BD158" s="32">
        <f t="shared" si="118"/>
        <v>0</v>
      </c>
      <c r="BF158" s="32">
        <f t="shared" si="119"/>
        <v>0</v>
      </c>
      <c r="BG158" s="32">
        <f t="shared" si="101"/>
        <v>0</v>
      </c>
      <c r="BH158" s="32">
        <f t="shared" si="120"/>
        <v>0</v>
      </c>
      <c r="BI158" s="4">
        <f t="shared" si="121"/>
        <v>0</v>
      </c>
      <c r="BJ158" s="32">
        <f t="shared" si="122"/>
        <v>0</v>
      </c>
      <c r="BK158" s="4">
        <f t="shared" si="123"/>
        <v>0</v>
      </c>
      <c r="BL158" s="32">
        <f t="shared" si="124"/>
        <v>0</v>
      </c>
      <c r="BM158" s="4">
        <f t="shared" si="125"/>
        <v>0</v>
      </c>
      <c r="BN158" s="32">
        <f t="shared" si="126"/>
        <v>0</v>
      </c>
      <c r="BO158" s="4">
        <f t="shared" si="127"/>
        <v>0</v>
      </c>
      <c r="BP158" s="32">
        <f t="shared" si="128"/>
        <v>0</v>
      </c>
      <c r="BQ158" s="32">
        <f t="shared" si="129"/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  <c r="DO158" s="4">
        <v>0</v>
      </c>
      <c r="DP158" s="4">
        <v>0</v>
      </c>
      <c r="DQ158" s="4">
        <v>0</v>
      </c>
    </row>
    <row r="159" spans="1:121" x14ac:dyDescent="0.35">
      <c r="A159" s="84">
        <f>'2017 Prop share of contribs'!A155</f>
        <v>190</v>
      </c>
      <c r="B159" s="84" t="str">
        <f>'2017 Prop share of contribs'!B155</f>
        <v xml:space="preserve">JACKSON CITY SCHOOLS  </v>
      </c>
      <c r="C159" s="25" t="s">
        <v>269</v>
      </c>
      <c r="D159" s="33">
        <f>ROUND('Employer Allocations'!G198,8)</f>
        <v>0</v>
      </c>
      <c r="E159" s="4">
        <f>ROUND('Employer Allocations'!H198,8)</f>
        <v>3.6469999999999997E-4</v>
      </c>
      <c r="F159" s="4">
        <f>ROUND('Employer Allocations'!I198,8)</f>
        <v>3.6469999999999997E-4</v>
      </c>
      <c r="G159" s="4">
        <v>0</v>
      </c>
      <c r="H159" s="4">
        <v>3.6073000000000002E-4</v>
      </c>
      <c r="I159" s="4">
        <v>3.6073000000000002E-4</v>
      </c>
      <c r="J159" s="7">
        <f t="shared" si="93"/>
        <v>0</v>
      </c>
      <c r="K159" s="7">
        <f t="shared" si="94"/>
        <v>9840607</v>
      </c>
      <c r="L159" s="7">
        <f t="shared" si="102"/>
        <v>9840607</v>
      </c>
      <c r="M159" s="7"/>
      <c r="N159" s="7">
        <f t="shared" si="95"/>
        <v>0</v>
      </c>
      <c r="O159" s="32">
        <f t="shared" si="96"/>
        <v>0</v>
      </c>
      <c r="P159" s="32"/>
      <c r="Q159" s="32">
        <f t="shared" si="97"/>
        <v>700500</v>
      </c>
      <c r="R159" s="32">
        <f t="shared" si="103"/>
        <v>700500</v>
      </c>
      <c r="S159" s="32">
        <f t="shared" si="104"/>
        <v>0</v>
      </c>
      <c r="T159" s="32">
        <f t="shared" si="98"/>
        <v>0</v>
      </c>
      <c r="U159" s="32">
        <f t="shared" si="131"/>
        <v>0</v>
      </c>
      <c r="V159" s="32">
        <f t="shared" si="131"/>
        <v>0</v>
      </c>
      <c r="W159" s="32">
        <f t="shared" si="131"/>
        <v>0</v>
      </c>
      <c r="X159" s="32">
        <f t="shared" si="105"/>
        <v>0</v>
      </c>
      <c r="Y159" s="32"/>
      <c r="Z159" s="32">
        <f t="shared" si="131"/>
        <v>0</v>
      </c>
      <c r="AA159" s="32">
        <f t="shared" si="131"/>
        <v>0</v>
      </c>
      <c r="AB159" s="32">
        <f t="shared" si="131"/>
        <v>0</v>
      </c>
      <c r="AC159" s="32">
        <f t="shared" si="106"/>
        <v>0</v>
      </c>
      <c r="AD159" s="32"/>
      <c r="AE159" s="32">
        <f t="shared" si="131"/>
        <v>0</v>
      </c>
      <c r="AF159" s="32">
        <f t="shared" si="131"/>
        <v>0</v>
      </c>
      <c r="AG159" s="32">
        <f t="shared" si="131"/>
        <v>0</v>
      </c>
      <c r="AH159" s="32">
        <f t="shared" si="131"/>
        <v>0</v>
      </c>
      <c r="AI159" s="32">
        <f t="shared" si="131"/>
        <v>0</v>
      </c>
      <c r="AJ159" s="32">
        <f t="shared" si="131"/>
        <v>0</v>
      </c>
      <c r="AK159" s="7">
        <v>0</v>
      </c>
      <c r="AL159" s="32">
        <v>0</v>
      </c>
      <c r="AM159" s="32"/>
      <c r="AN159" s="4">
        <v>0</v>
      </c>
      <c r="AO159" s="32">
        <f t="shared" si="107"/>
        <v>0</v>
      </c>
      <c r="AP159" s="32">
        <f t="shared" si="108"/>
        <v>0</v>
      </c>
      <c r="AS159" s="32">
        <f t="shared" si="109"/>
        <v>0</v>
      </c>
      <c r="AT159" s="32">
        <f t="shared" si="99"/>
        <v>0</v>
      </c>
      <c r="AU159" s="32">
        <f t="shared" si="110"/>
        <v>0</v>
      </c>
      <c r="AV159" s="4">
        <f t="shared" si="111"/>
        <v>0</v>
      </c>
      <c r="AW159" s="32">
        <f t="shared" si="112"/>
        <v>0</v>
      </c>
      <c r="AX159" s="4">
        <f t="shared" si="113"/>
        <v>0</v>
      </c>
      <c r="AY159" s="32">
        <f t="shared" si="114"/>
        <v>0</v>
      </c>
      <c r="AZ159" s="4">
        <f t="shared" si="115"/>
        <v>0</v>
      </c>
      <c r="BA159" s="32">
        <f t="shared" si="116"/>
        <v>0</v>
      </c>
      <c r="BB159" s="32">
        <f t="shared" si="100"/>
        <v>0</v>
      </c>
      <c r="BC159" s="32">
        <f t="shared" si="117"/>
        <v>0</v>
      </c>
      <c r="BD159" s="32">
        <f t="shared" si="118"/>
        <v>0</v>
      </c>
      <c r="BF159" s="32">
        <f t="shared" si="119"/>
        <v>0</v>
      </c>
      <c r="BG159" s="32">
        <f t="shared" si="101"/>
        <v>0</v>
      </c>
      <c r="BH159" s="32">
        <f t="shared" si="120"/>
        <v>0</v>
      </c>
      <c r="BI159" s="4">
        <f t="shared" si="121"/>
        <v>0</v>
      </c>
      <c r="BJ159" s="32">
        <f t="shared" si="122"/>
        <v>0</v>
      </c>
      <c r="BK159" s="4">
        <f t="shared" si="123"/>
        <v>0</v>
      </c>
      <c r="BL159" s="32">
        <f t="shared" si="124"/>
        <v>0</v>
      </c>
      <c r="BM159" s="4">
        <f t="shared" si="125"/>
        <v>0</v>
      </c>
      <c r="BN159" s="32">
        <f t="shared" si="126"/>
        <v>0</v>
      </c>
      <c r="BO159" s="4">
        <f t="shared" si="127"/>
        <v>0</v>
      </c>
      <c r="BP159" s="32">
        <f t="shared" si="128"/>
        <v>0</v>
      </c>
      <c r="BQ159" s="32">
        <f t="shared" si="129"/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  <c r="DO159" s="4">
        <v>0</v>
      </c>
      <c r="DP159" s="4">
        <v>0</v>
      </c>
      <c r="DQ159" s="4">
        <v>0</v>
      </c>
    </row>
    <row r="160" spans="1:121" x14ac:dyDescent="0.35">
      <c r="A160" s="84">
        <f>'2017 Prop share of contribs'!A156</f>
        <v>191</v>
      </c>
      <c r="B160" s="84" t="str">
        <f>'2017 Prop share of contribs'!B156</f>
        <v xml:space="preserve">JENKINS CITY SCHOOLS  </v>
      </c>
      <c r="C160" s="25" t="s">
        <v>270</v>
      </c>
      <c r="D160" s="33">
        <f>ROUND('Employer Allocations'!G199,8)</f>
        <v>0</v>
      </c>
      <c r="E160" s="4">
        <f>ROUND('Employer Allocations'!H199,8)</f>
        <v>6.9214000000000005E-4</v>
      </c>
      <c r="F160" s="4">
        <f>ROUND('Employer Allocations'!I199,8)</f>
        <v>6.9214000000000005E-4</v>
      </c>
      <c r="G160" s="4">
        <v>0</v>
      </c>
      <c r="H160" s="4">
        <v>7.5365999999999996E-4</v>
      </c>
      <c r="I160" s="4">
        <v>7.5365999999999996E-4</v>
      </c>
      <c r="J160" s="7">
        <f t="shared" si="93"/>
        <v>0</v>
      </c>
      <c r="K160" s="7">
        <f t="shared" si="94"/>
        <v>18675837</v>
      </c>
      <c r="L160" s="7">
        <f t="shared" si="102"/>
        <v>18675837</v>
      </c>
      <c r="M160" s="7"/>
      <c r="N160" s="7">
        <f t="shared" si="95"/>
        <v>0</v>
      </c>
      <c r="O160" s="32">
        <f t="shared" si="96"/>
        <v>0</v>
      </c>
      <c r="P160" s="32"/>
      <c r="Q160" s="32">
        <f t="shared" si="97"/>
        <v>1329433</v>
      </c>
      <c r="R160" s="32">
        <f t="shared" si="103"/>
        <v>1329433</v>
      </c>
      <c r="S160" s="32">
        <f t="shared" si="104"/>
        <v>0</v>
      </c>
      <c r="T160" s="32">
        <f t="shared" si="98"/>
        <v>0</v>
      </c>
      <c r="U160" s="32">
        <f t="shared" ref="U160:AJ175" si="132">ROUND(U$2*$D160,0)</f>
        <v>0</v>
      </c>
      <c r="V160" s="32">
        <f t="shared" si="132"/>
        <v>0</v>
      </c>
      <c r="W160" s="32">
        <f t="shared" si="132"/>
        <v>0</v>
      </c>
      <c r="X160" s="32">
        <f t="shared" si="105"/>
        <v>0</v>
      </c>
      <c r="Y160" s="32"/>
      <c r="Z160" s="32">
        <f t="shared" si="132"/>
        <v>0</v>
      </c>
      <c r="AA160" s="32">
        <f t="shared" si="132"/>
        <v>0</v>
      </c>
      <c r="AB160" s="32">
        <f t="shared" si="132"/>
        <v>0</v>
      </c>
      <c r="AC160" s="32">
        <f t="shared" si="106"/>
        <v>0</v>
      </c>
      <c r="AD160" s="32"/>
      <c r="AE160" s="32">
        <f t="shared" si="132"/>
        <v>0</v>
      </c>
      <c r="AF160" s="32">
        <f t="shared" si="132"/>
        <v>0</v>
      </c>
      <c r="AG160" s="32">
        <f t="shared" si="132"/>
        <v>0</v>
      </c>
      <c r="AH160" s="32">
        <f t="shared" si="132"/>
        <v>0</v>
      </c>
      <c r="AI160" s="32">
        <f t="shared" si="132"/>
        <v>0</v>
      </c>
      <c r="AJ160" s="32">
        <f t="shared" si="131"/>
        <v>0</v>
      </c>
      <c r="AK160" s="7">
        <v>0</v>
      </c>
      <c r="AL160" s="32">
        <v>0</v>
      </c>
      <c r="AM160" s="32"/>
      <c r="AN160" s="4">
        <v>0</v>
      </c>
      <c r="AO160" s="32">
        <f t="shared" si="107"/>
        <v>0</v>
      </c>
      <c r="AP160" s="32">
        <f t="shared" si="108"/>
        <v>0</v>
      </c>
      <c r="AS160" s="32">
        <f t="shared" si="109"/>
        <v>0</v>
      </c>
      <c r="AT160" s="32">
        <f t="shared" si="99"/>
        <v>0</v>
      </c>
      <c r="AU160" s="32">
        <f t="shared" si="110"/>
        <v>0</v>
      </c>
      <c r="AV160" s="4">
        <f t="shared" si="111"/>
        <v>0</v>
      </c>
      <c r="AW160" s="32">
        <f t="shared" si="112"/>
        <v>0</v>
      </c>
      <c r="AX160" s="4">
        <f t="shared" si="113"/>
        <v>0</v>
      </c>
      <c r="AY160" s="32">
        <f t="shared" si="114"/>
        <v>0</v>
      </c>
      <c r="AZ160" s="4">
        <f t="shared" si="115"/>
        <v>0</v>
      </c>
      <c r="BA160" s="32">
        <f t="shared" si="116"/>
        <v>0</v>
      </c>
      <c r="BB160" s="32">
        <f t="shared" si="100"/>
        <v>0</v>
      </c>
      <c r="BC160" s="32">
        <f t="shared" si="117"/>
        <v>0</v>
      </c>
      <c r="BD160" s="32">
        <f t="shared" si="118"/>
        <v>0</v>
      </c>
      <c r="BF160" s="32">
        <f t="shared" si="119"/>
        <v>0</v>
      </c>
      <c r="BG160" s="32">
        <f t="shared" si="101"/>
        <v>0</v>
      </c>
      <c r="BH160" s="32">
        <f t="shared" si="120"/>
        <v>0</v>
      </c>
      <c r="BI160" s="4">
        <f t="shared" si="121"/>
        <v>0</v>
      </c>
      <c r="BJ160" s="32">
        <f t="shared" si="122"/>
        <v>0</v>
      </c>
      <c r="BK160" s="4">
        <f t="shared" si="123"/>
        <v>0</v>
      </c>
      <c r="BL160" s="32">
        <f t="shared" si="124"/>
        <v>0</v>
      </c>
      <c r="BM160" s="4">
        <f t="shared" si="125"/>
        <v>0</v>
      </c>
      <c r="BN160" s="32">
        <f t="shared" si="126"/>
        <v>0</v>
      </c>
      <c r="BO160" s="4">
        <f t="shared" si="127"/>
        <v>0</v>
      </c>
      <c r="BP160" s="32">
        <f t="shared" si="128"/>
        <v>0</v>
      </c>
      <c r="BQ160" s="32">
        <f t="shared" si="129"/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  <c r="DO160" s="4">
        <v>0</v>
      </c>
      <c r="DP160" s="4">
        <v>0</v>
      </c>
      <c r="DQ160" s="4">
        <v>0</v>
      </c>
    </row>
    <row r="161" spans="1:121" x14ac:dyDescent="0.35">
      <c r="A161" s="84">
        <f>'2017 Prop share of contribs'!A157</f>
        <v>206</v>
      </c>
      <c r="B161" s="84" t="str">
        <f>'2017 Prop share of contribs'!B157</f>
        <v xml:space="preserve">LUDLOW CITY SCHOOLS  </v>
      </c>
      <c r="C161" s="25" t="s">
        <v>271</v>
      </c>
      <c r="D161" s="33">
        <f>ROUND('Employer Allocations'!G200,8)</f>
        <v>0</v>
      </c>
      <c r="E161" s="4">
        <f>ROUND('Employer Allocations'!H200,8)</f>
        <v>1.3959300000000001E-3</v>
      </c>
      <c r="F161" s="4">
        <f>ROUND('Employer Allocations'!I200,8)</f>
        <v>1.3959300000000001E-3</v>
      </c>
      <c r="G161" s="4">
        <v>0</v>
      </c>
      <c r="H161" s="4">
        <v>1.3744300000000001E-3</v>
      </c>
      <c r="I161" s="4">
        <v>1.3744300000000001E-3</v>
      </c>
      <c r="J161" s="7">
        <f t="shared" si="93"/>
        <v>0</v>
      </c>
      <c r="K161" s="7">
        <f t="shared" si="94"/>
        <v>37666022</v>
      </c>
      <c r="L161" s="7">
        <f t="shared" si="102"/>
        <v>37666022</v>
      </c>
      <c r="M161" s="7"/>
      <c r="N161" s="7">
        <f t="shared" si="95"/>
        <v>0</v>
      </c>
      <c r="O161" s="32">
        <f t="shared" si="96"/>
        <v>0</v>
      </c>
      <c r="P161" s="32"/>
      <c r="Q161" s="32">
        <f t="shared" si="97"/>
        <v>2681243</v>
      </c>
      <c r="R161" s="32">
        <f t="shared" si="103"/>
        <v>2681243</v>
      </c>
      <c r="S161" s="32">
        <f t="shared" si="104"/>
        <v>0</v>
      </c>
      <c r="T161" s="32">
        <f t="shared" si="98"/>
        <v>0</v>
      </c>
      <c r="U161" s="32">
        <f t="shared" si="132"/>
        <v>0</v>
      </c>
      <c r="V161" s="32">
        <f t="shared" si="132"/>
        <v>0</v>
      </c>
      <c r="W161" s="32">
        <f t="shared" si="132"/>
        <v>0</v>
      </c>
      <c r="X161" s="32">
        <f t="shared" si="105"/>
        <v>0</v>
      </c>
      <c r="Y161" s="32"/>
      <c r="Z161" s="32">
        <f t="shared" si="132"/>
        <v>0</v>
      </c>
      <c r="AA161" s="32">
        <f t="shared" si="132"/>
        <v>0</v>
      </c>
      <c r="AB161" s="32">
        <f t="shared" si="132"/>
        <v>0</v>
      </c>
      <c r="AC161" s="32">
        <f t="shared" si="106"/>
        <v>0</v>
      </c>
      <c r="AD161" s="32"/>
      <c r="AE161" s="32">
        <f t="shared" si="132"/>
        <v>0</v>
      </c>
      <c r="AF161" s="32">
        <f t="shared" si="132"/>
        <v>0</v>
      </c>
      <c r="AG161" s="32">
        <f t="shared" si="132"/>
        <v>0</v>
      </c>
      <c r="AH161" s="32">
        <f t="shared" si="132"/>
        <v>0</v>
      </c>
      <c r="AI161" s="32">
        <f t="shared" si="132"/>
        <v>0</v>
      </c>
      <c r="AJ161" s="32">
        <f t="shared" si="131"/>
        <v>0</v>
      </c>
      <c r="AK161" s="7">
        <v>0</v>
      </c>
      <c r="AL161" s="32">
        <v>0</v>
      </c>
      <c r="AM161" s="32"/>
      <c r="AN161" s="4">
        <v>0</v>
      </c>
      <c r="AO161" s="32">
        <f t="shared" si="107"/>
        <v>0</v>
      </c>
      <c r="AP161" s="32">
        <f t="shared" si="108"/>
        <v>0</v>
      </c>
      <c r="AS161" s="32">
        <f t="shared" si="109"/>
        <v>0</v>
      </c>
      <c r="AT161" s="32">
        <f t="shared" si="99"/>
        <v>0</v>
      </c>
      <c r="AU161" s="32">
        <f t="shared" si="110"/>
        <v>0</v>
      </c>
      <c r="AV161" s="4">
        <f t="shared" si="111"/>
        <v>0</v>
      </c>
      <c r="AW161" s="32">
        <f t="shared" si="112"/>
        <v>0</v>
      </c>
      <c r="AX161" s="4">
        <f t="shared" si="113"/>
        <v>0</v>
      </c>
      <c r="AY161" s="32">
        <f t="shared" si="114"/>
        <v>0</v>
      </c>
      <c r="AZ161" s="4">
        <f t="shared" si="115"/>
        <v>0</v>
      </c>
      <c r="BA161" s="32">
        <f t="shared" si="116"/>
        <v>0</v>
      </c>
      <c r="BB161" s="32">
        <f t="shared" si="100"/>
        <v>0</v>
      </c>
      <c r="BC161" s="32">
        <f t="shared" si="117"/>
        <v>0</v>
      </c>
      <c r="BD161" s="32">
        <f t="shared" si="118"/>
        <v>0</v>
      </c>
      <c r="BF161" s="32">
        <f t="shared" si="119"/>
        <v>0</v>
      </c>
      <c r="BG161" s="32">
        <f t="shared" si="101"/>
        <v>0</v>
      </c>
      <c r="BH161" s="32">
        <f t="shared" si="120"/>
        <v>0</v>
      </c>
      <c r="BI161" s="4">
        <f t="shared" si="121"/>
        <v>0</v>
      </c>
      <c r="BJ161" s="32">
        <f t="shared" si="122"/>
        <v>0</v>
      </c>
      <c r="BK161" s="4">
        <f t="shared" si="123"/>
        <v>0</v>
      </c>
      <c r="BL161" s="32">
        <f t="shared" si="124"/>
        <v>0</v>
      </c>
      <c r="BM161" s="4">
        <f t="shared" si="125"/>
        <v>0</v>
      </c>
      <c r="BN161" s="32">
        <f t="shared" si="126"/>
        <v>0</v>
      </c>
      <c r="BO161" s="4">
        <f t="shared" si="127"/>
        <v>0</v>
      </c>
      <c r="BP161" s="32">
        <f t="shared" si="128"/>
        <v>0</v>
      </c>
      <c r="BQ161" s="32">
        <f t="shared" si="129"/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  <c r="DO161" s="4">
        <v>0</v>
      </c>
      <c r="DP161" s="4">
        <v>0</v>
      </c>
      <c r="DQ161" s="4">
        <v>0</v>
      </c>
    </row>
    <row r="162" spans="1:121" x14ac:dyDescent="0.35">
      <c r="A162" s="84">
        <f>'2017 Prop share of contribs'!A158</f>
        <v>210</v>
      </c>
      <c r="B162" s="84" t="str">
        <f>'2017 Prop share of contribs'!B158</f>
        <v xml:space="preserve">MAYFIELD CITY SCHOOLS  </v>
      </c>
      <c r="C162" s="25" t="s">
        <v>272</v>
      </c>
      <c r="D162" s="33">
        <f>ROUND('Employer Allocations'!G201,8)</f>
        <v>0</v>
      </c>
      <c r="E162" s="4">
        <f>ROUND('Employer Allocations'!H201,8)</f>
        <v>2.2580299999999998E-3</v>
      </c>
      <c r="F162" s="4">
        <f>ROUND('Employer Allocations'!I201,8)</f>
        <v>2.2580299999999998E-3</v>
      </c>
      <c r="G162" s="4">
        <v>0</v>
      </c>
      <c r="H162" s="4">
        <v>2.3613599999999998E-3</v>
      </c>
      <c r="I162" s="4">
        <v>2.3613599999999998E-3</v>
      </c>
      <c r="J162" s="7">
        <f t="shared" si="93"/>
        <v>0</v>
      </c>
      <c r="K162" s="7">
        <f t="shared" si="94"/>
        <v>60927846</v>
      </c>
      <c r="L162" s="7">
        <f t="shared" si="102"/>
        <v>60927846</v>
      </c>
      <c r="M162" s="7"/>
      <c r="N162" s="7">
        <f t="shared" si="95"/>
        <v>0</v>
      </c>
      <c r="O162" s="32">
        <f t="shared" si="96"/>
        <v>0</v>
      </c>
      <c r="P162" s="32"/>
      <c r="Q162" s="32">
        <f t="shared" si="97"/>
        <v>4337128</v>
      </c>
      <c r="R162" s="32">
        <f t="shared" si="103"/>
        <v>4337128</v>
      </c>
      <c r="S162" s="32">
        <f t="shared" si="104"/>
        <v>0</v>
      </c>
      <c r="T162" s="32">
        <f t="shared" si="98"/>
        <v>0</v>
      </c>
      <c r="U162" s="32">
        <f t="shared" si="132"/>
        <v>0</v>
      </c>
      <c r="V162" s="32">
        <f t="shared" si="132"/>
        <v>0</v>
      </c>
      <c r="W162" s="32">
        <f t="shared" si="132"/>
        <v>0</v>
      </c>
      <c r="X162" s="32">
        <f t="shared" si="105"/>
        <v>0</v>
      </c>
      <c r="Y162" s="32"/>
      <c r="Z162" s="32">
        <f t="shared" si="132"/>
        <v>0</v>
      </c>
      <c r="AA162" s="32">
        <f t="shared" si="132"/>
        <v>0</v>
      </c>
      <c r="AB162" s="32">
        <f t="shared" si="132"/>
        <v>0</v>
      </c>
      <c r="AC162" s="32">
        <f t="shared" si="106"/>
        <v>0</v>
      </c>
      <c r="AD162" s="32"/>
      <c r="AE162" s="32">
        <f t="shared" si="132"/>
        <v>0</v>
      </c>
      <c r="AF162" s="32">
        <f t="shared" si="132"/>
        <v>0</v>
      </c>
      <c r="AG162" s="32">
        <f t="shared" si="132"/>
        <v>0</v>
      </c>
      <c r="AH162" s="32">
        <f t="shared" si="132"/>
        <v>0</v>
      </c>
      <c r="AI162" s="32">
        <f t="shared" si="132"/>
        <v>0</v>
      </c>
      <c r="AJ162" s="32">
        <f t="shared" si="131"/>
        <v>0</v>
      </c>
      <c r="AK162" s="7">
        <v>0</v>
      </c>
      <c r="AL162" s="32">
        <v>0</v>
      </c>
      <c r="AM162" s="32"/>
      <c r="AN162" s="4">
        <v>0</v>
      </c>
      <c r="AO162" s="32">
        <f t="shared" si="107"/>
        <v>0</v>
      </c>
      <c r="AP162" s="32">
        <f t="shared" si="108"/>
        <v>0</v>
      </c>
      <c r="AS162" s="32">
        <f t="shared" si="109"/>
        <v>0</v>
      </c>
      <c r="AT162" s="32">
        <f t="shared" si="99"/>
        <v>0</v>
      </c>
      <c r="AU162" s="32">
        <f t="shared" si="110"/>
        <v>0</v>
      </c>
      <c r="AV162" s="4">
        <f t="shared" si="111"/>
        <v>0</v>
      </c>
      <c r="AW162" s="32">
        <f t="shared" si="112"/>
        <v>0</v>
      </c>
      <c r="AX162" s="4">
        <f t="shared" si="113"/>
        <v>0</v>
      </c>
      <c r="AY162" s="32">
        <f t="shared" si="114"/>
        <v>0</v>
      </c>
      <c r="AZ162" s="4">
        <f t="shared" si="115"/>
        <v>0</v>
      </c>
      <c r="BA162" s="32">
        <f t="shared" si="116"/>
        <v>0</v>
      </c>
      <c r="BB162" s="32">
        <f t="shared" si="100"/>
        <v>0</v>
      </c>
      <c r="BC162" s="32">
        <f t="shared" si="117"/>
        <v>0</v>
      </c>
      <c r="BD162" s="32">
        <f t="shared" si="118"/>
        <v>0</v>
      </c>
      <c r="BF162" s="32">
        <f t="shared" si="119"/>
        <v>0</v>
      </c>
      <c r="BG162" s="32">
        <f t="shared" si="101"/>
        <v>0</v>
      </c>
      <c r="BH162" s="32">
        <f t="shared" si="120"/>
        <v>0</v>
      </c>
      <c r="BI162" s="4">
        <f t="shared" si="121"/>
        <v>0</v>
      </c>
      <c r="BJ162" s="32">
        <f t="shared" si="122"/>
        <v>0</v>
      </c>
      <c r="BK162" s="4">
        <f t="shared" si="123"/>
        <v>0</v>
      </c>
      <c r="BL162" s="32">
        <f t="shared" si="124"/>
        <v>0</v>
      </c>
      <c r="BM162" s="4">
        <f t="shared" si="125"/>
        <v>0</v>
      </c>
      <c r="BN162" s="32">
        <f t="shared" si="126"/>
        <v>0</v>
      </c>
      <c r="BO162" s="4">
        <f t="shared" si="127"/>
        <v>0</v>
      </c>
      <c r="BP162" s="32">
        <f t="shared" si="128"/>
        <v>0</v>
      </c>
      <c r="BQ162" s="32">
        <f t="shared" si="129"/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  <c r="DO162" s="4">
        <v>0</v>
      </c>
      <c r="DP162" s="4">
        <v>0</v>
      </c>
      <c r="DQ162" s="4">
        <v>0</v>
      </c>
    </row>
    <row r="163" spans="1:121" x14ac:dyDescent="0.35">
      <c r="A163" s="84">
        <f>'2017 Prop share of contribs'!A159</f>
        <v>214</v>
      </c>
      <c r="B163" s="84" t="str">
        <f>'2017 Prop share of contribs'!B159</f>
        <v xml:space="preserve">MIDDLESBORO CITY SCHOOLS  </v>
      </c>
      <c r="C163" s="25" t="s">
        <v>273</v>
      </c>
      <c r="D163" s="33">
        <f>ROUND('Employer Allocations'!G202,8)</f>
        <v>0</v>
      </c>
      <c r="E163" s="4">
        <f>ROUND('Employer Allocations'!H202,8)</f>
        <v>1.5859100000000001E-3</v>
      </c>
      <c r="F163" s="4">
        <f>ROUND('Employer Allocations'!I202,8)</f>
        <v>1.5859100000000001E-3</v>
      </c>
      <c r="G163" s="4">
        <v>0</v>
      </c>
      <c r="H163" s="4">
        <v>1.6153000000000001E-3</v>
      </c>
      <c r="I163" s="4">
        <v>1.6153000000000001E-3</v>
      </c>
      <c r="J163" s="7">
        <f t="shared" si="93"/>
        <v>0</v>
      </c>
      <c r="K163" s="7">
        <f t="shared" si="94"/>
        <v>42792204</v>
      </c>
      <c r="L163" s="7">
        <f t="shared" si="102"/>
        <v>42792204</v>
      </c>
      <c r="M163" s="7"/>
      <c r="N163" s="7">
        <f t="shared" si="95"/>
        <v>0</v>
      </c>
      <c r="O163" s="32">
        <f t="shared" si="96"/>
        <v>0</v>
      </c>
      <c r="P163" s="32"/>
      <c r="Q163" s="32">
        <f t="shared" si="97"/>
        <v>3046149</v>
      </c>
      <c r="R163" s="32">
        <f t="shared" si="103"/>
        <v>3046149</v>
      </c>
      <c r="S163" s="32">
        <f t="shared" si="104"/>
        <v>0</v>
      </c>
      <c r="T163" s="32">
        <f t="shared" si="98"/>
        <v>0</v>
      </c>
      <c r="U163" s="32">
        <f t="shared" si="132"/>
        <v>0</v>
      </c>
      <c r="V163" s="32">
        <f t="shared" si="132"/>
        <v>0</v>
      </c>
      <c r="W163" s="32">
        <f t="shared" si="132"/>
        <v>0</v>
      </c>
      <c r="X163" s="32">
        <f t="shared" si="105"/>
        <v>0</v>
      </c>
      <c r="Y163" s="32"/>
      <c r="Z163" s="32">
        <f t="shared" si="132"/>
        <v>0</v>
      </c>
      <c r="AA163" s="32">
        <f t="shared" si="132"/>
        <v>0</v>
      </c>
      <c r="AB163" s="32">
        <f t="shared" si="132"/>
        <v>0</v>
      </c>
      <c r="AC163" s="32">
        <f t="shared" si="106"/>
        <v>0</v>
      </c>
      <c r="AD163" s="32"/>
      <c r="AE163" s="32">
        <f t="shared" si="132"/>
        <v>0</v>
      </c>
      <c r="AF163" s="32">
        <f t="shared" si="132"/>
        <v>0</v>
      </c>
      <c r="AG163" s="32">
        <f t="shared" si="132"/>
        <v>0</v>
      </c>
      <c r="AH163" s="32">
        <f t="shared" si="132"/>
        <v>0</v>
      </c>
      <c r="AI163" s="32">
        <f t="shared" si="132"/>
        <v>0</v>
      </c>
      <c r="AJ163" s="32">
        <f t="shared" si="131"/>
        <v>0</v>
      </c>
      <c r="AK163" s="7">
        <v>0</v>
      </c>
      <c r="AL163" s="32">
        <v>0</v>
      </c>
      <c r="AM163" s="32"/>
      <c r="AN163" s="4">
        <v>0</v>
      </c>
      <c r="AO163" s="32">
        <f t="shared" si="107"/>
        <v>0</v>
      </c>
      <c r="AP163" s="32">
        <f t="shared" si="108"/>
        <v>0</v>
      </c>
      <c r="AS163" s="32">
        <f t="shared" si="109"/>
        <v>0</v>
      </c>
      <c r="AT163" s="32">
        <f t="shared" si="99"/>
        <v>0</v>
      </c>
      <c r="AU163" s="32">
        <f t="shared" si="110"/>
        <v>0</v>
      </c>
      <c r="AV163" s="4">
        <f t="shared" si="111"/>
        <v>0</v>
      </c>
      <c r="AW163" s="32">
        <f t="shared" si="112"/>
        <v>0</v>
      </c>
      <c r="AX163" s="4">
        <f t="shared" si="113"/>
        <v>0</v>
      </c>
      <c r="AY163" s="32">
        <f t="shared" si="114"/>
        <v>0</v>
      </c>
      <c r="AZ163" s="4">
        <f t="shared" si="115"/>
        <v>0</v>
      </c>
      <c r="BA163" s="32">
        <f t="shared" si="116"/>
        <v>0</v>
      </c>
      <c r="BB163" s="32">
        <f t="shared" si="100"/>
        <v>0</v>
      </c>
      <c r="BC163" s="32">
        <f t="shared" si="117"/>
        <v>0</v>
      </c>
      <c r="BD163" s="32">
        <f t="shared" si="118"/>
        <v>0</v>
      </c>
      <c r="BF163" s="32">
        <f t="shared" si="119"/>
        <v>0</v>
      </c>
      <c r="BG163" s="32">
        <f t="shared" si="101"/>
        <v>0</v>
      </c>
      <c r="BH163" s="32">
        <f t="shared" si="120"/>
        <v>0</v>
      </c>
      <c r="BI163" s="4">
        <f t="shared" si="121"/>
        <v>0</v>
      </c>
      <c r="BJ163" s="32">
        <f t="shared" si="122"/>
        <v>0</v>
      </c>
      <c r="BK163" s="4">
        <f t="shared" si="123"/>
        <v>0</v>
      </c>
      <c r="BL163" s="32">
        <f t="shared" si="124"/>
        <v>0</v>
      </c>
      <c r="BM163" s="4">
        <f t="shared" si="125"/>
        <v>0</v>
      </c>
      <c r="BN163" s="32">
        <f t="shared" si="126"/>
        <v>0</v>
      </c>
      <c r="BO163" s="4">
        <f t="shared" si="127"/>
        <v>0</v>
      </c>
      <c r="BP163" s="32">
        <f t="shared" si="128"/>
        <v>0</v>
      </c>
      <c r="BQ163" s="32">
        <f t="shared" si="129"/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  <c r="DO163" s="4">
        <v>0</v>
      </c>
      <c r="DP163" s="4">
        <v>0</v>
      </c>
      <c r="DQ163" s="4">
        <v>0</v>
      </c>
    </row>
    <row r="164" spans="1:121" x14ac:dyDescent="0.35">
      <c r="A164" s="84">
        <f>'2017 Prop share of contribs'!A160</f>
        <v>221</v>
      </c>
      <c r="B164" s="84" t="str">
        <f>'2017 Prop share of contribs'!B160</f>
        <v xml:space="preserve">MURRAY CITY SCHOOLS  </v>
      </c>
      <c r="C164" s="25" t="s">
        <v>274</v>
      </c>
      <c r="D164" s="33">
        <f>ROUND('Employer Allocations'!G203,8)</f>
        <v>0</v>
      </c>
      <c r="E164" s="4">
        <f>ROUND('Employer Allocations'!H203,8)</f>
        <v>2.2430800000000002E-3</v>
      </c>
      <c r="F164" s="4">
        <f>ROUND('Employer Allocations'!I203,8)</f>
        <v>2.2430800000000002E-3</v>
      </c>
      <c r="G164" s="4">
        <v>0</v>
      </c>
      <c r="H164" s="4">
        <v>2.2643400000000001E-3</v>
      </c>
      <c r="I164" s="4">
        <v>2.2643400000000001E-3</v>
      </c>
      <c r="J164" s="7">
        <f t="shared" si="93"/>
        <v>0</v>
      </c>
      <c r="K164" s="7">
        <f t="shared" si="94"/>
        <v>60524454</v>
      </c>
      <c r="L164" s="7">
        <f t="shared" si="102"/>
        <v>60524454</v>
      </c>
      <c r="M164" s="7"/>
      <c r="N164" s="7">
        <f t="shared" si="95"/>
        <v>0</v>
      </c>
      <c r="O164" s="32">
        <f t="shared" si="96"/>
        <v>0</v>
      </c>
      <c r="P164" s="32"/>
      <c r="Q164" s="32">
        <f t="shared" si="97"/>
        <v>4308413</v>
      </c>
      <c r="R164" s="32">
        <f t="shared" si="103"/>
        <v>4308413</v>
      </c>
      <c r="S164" s="32">
        <f t="shared" si="104"/>
        <v>0</v>
      </c>
      <c r="T164" s="32">
        <f t="shared" si="98"/>
        <v>0</v>
      </c>
      <c r="U164" s="32">
        <f t="shared" si="132"/>
        <v>0</v>
      </c>
      <c r="V164" s="32">
        <f t="shared" si="132"/>
        <v>0</v>
      </c>
      <c r="W164" s="32">
        <f t="shared" si="132"/>
        <v>0</v>
      </c>
      <c r="X164" s="32">
        <f t="shared" si="105"/>
        <v>0</v>
      </c>
      <c r="Y164" s="32"/>
      <c r="Z164" s="32">
        <f t="shared" si="132"/>
        <v>0</v>
      </c>
      <c r="AA164" s="32">
        <f t="shared" si="132"/>
        <v>0</v>
      </c>
      <c r="AB164" s="32">
        <f t="shared" si="132"/>
        <v>0</v>
      </c>
      <c r="AC164" s="32">
        <f t="shared" si="106"/>
        <v>0</v>
      </c>
      <c r="AD164" s="32"/>
      <c r="AE164" s="32">
        <f t="shared" si="132"/>
        <v>0</v>
      </c>
      <c r="AF164" s="32">
        <f t="shared" si="132"/>
        <v>0</v>
      </c>
      <c r="AG164" s="32">
        <f t="shared" si="132"/>
        <v>0</v>
      </c>
      <c r="AH164" s="32">
        <f t="shared" si="132"/>
        <v>0</v>
      </c>
      <c r="AI164" s="32">
        <f t="shared" si="132"/>
        <v>0</v>
      </c>
      <c r="AJ164" s="32">
        <f t="shared" si="131"/>
        <v>0</v>
      </c>
      <c r="AK164" s="7">
        <v>0</v>
      </c>
      <c r="AL164" s="32">
        <v>0</v>
      </c>
      <c r="AM164" s="32"/>
      <c r="AN164" s="4">
        <v>0</v>
      </c>
      <c r="AO164" s="32">
        <f t="shared" si="107"/>
        <v>0</v>
      </c>
      <c r="AP164" s="32">
        <f t="shared" si="108"/>
        <v>0</v>
      </c>
      <c r="AS164" s="32">
        <f t="shared" si="109"/>
        <v>0</v>
      </c>
      <c r="AT164" s="32">
        <f t="shared" si="99"/>
        <v>0</v>
      </c>
      <c r="AU164" s="32">
        <f t="shared" si="110"/>
        <v>0</v>
      </c>
      <c r="AV164" s="4">
        <f t="shared" si="111"/>
        <v>0</v>
      </c>
      <c r="AW164" s="32">
        <f t="shared" si="112"/>
        <v>0</v>
      </c>
      <c r="AX164" s="4">
        <f t="shared" si="113"/>
        <v>0</v>
      </c>
      <c r="AY164" s="32">
        <f t="shared" si="114"/>
        <v>0</v>
      </c>
      <c r="AZ164" s="4">
        <f t="shared" si="115"/>
        <v>0</v>
      </c>
      <c r="BA164" s="32">
        <f t="shared" si="116"/>
        <v>0</v>
      </c>
      <c r="BB164" s="32">
        <f t="shared" si="100"/>
        <v>0</v>
      </c>
      <c r="BC164" s="32">
        <f t="shared" si="117"/>
        <v>0</v>
      </c>
      <c r="BD164" s="32">
        <f t="shared" si="118"/>
        <v>0</v>
      </c>
      <c r="BF164" s="32">
        <f t="shared" si="119"/>
        <v>0</v>
      </c>
      <c r="BG164" s="32">
        <f t="shared" si="101"/>
        <v>0</v>
      </c>
      <c r="BH164" s="32">
        <f t="shared" si="120"/>
        <v>0</v>
      </c>
      <c r="BI164" s="4">
        <f t="shared" si="121"/>
        <v>0</v>
      </c>
      <c r="BJ164" s="32">
        <f t="shared" si="122"/>
        <v>0</v>
      </c>
      <c r="BK164" s="4">
        <f t="shared" si="123"/>
        <v>0</v>
      </c>
      <c r="BL164" s="32">
        <f t="shared" si="124"/>
        <v>0</v>
      </c>
      <c r="BM164" s="4">
        <f t="shared" si="125"/>
        <v>0</v>
      </c>
      <c r="BN164" s="32">
        <f t="shared" si="126"/>
        <v>0</v>
      </c>
      <c r="BO164" s="4">
        <f t="shared" si="127"/>
        <v>0</v>
      </c>
      <c r="BP164" s="32">
        <f t="shared" si="128"/>
        <v>0</v>
      </c>
      <c r="BQ164" s="32">
        <f t="shared" si="129"/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  <c r="DO164" s="4">
        <v>0</v>
      </c>
      <c r="DP164" s="4">
        <v>0</v>
      </c>
      <c r="DQ164" s="4">
        <v>0</v>
      </c>
    </row>
    <row r="165" spans="1:121" x14ac:dyDescent="0.35">
      <c r="A165" s="84">
        <f>'2017 Prop share of contribs'!A161</f>
        <v>222</v>
      </c>
      <c r="B165" s="84" t="str">
        <f>'2017 Prop share of contribs'!B161</f>
        <v xml:space="preserve">NEWPORT CITY SCHOOLS  </v>
      </c>
      <c r="C165" s="25" t="s">
        <v>275</v>
      </c>
      <c r="D165" s="33">
        <f>ROUND('Employer Allocations'!G204,8)</f>
        <v>0</v>
      </c>
      <c r="E165" s="4">
        <f>ROUND('Employer Allocations'!H204,8)</f>
        <v>2.9464199999999999E-3</v>
      </c>
      <c r="F165" s="4">
        <f>ROUND('Employer Allocations'!I204,8)</f>
        <v>2.9464199999999999E-3</v>
      </c>
      <c r="G165" s="4">
        <v>0</v>
      </c>
      <c r="H165" s="4">
        <v>3.0833900000000001E-3</v>
      </c>
      <c r="I165" s="4">
        <v>3.0833900000000001E-3</v>
      </c>
      <c r="J165" s="7">
        <f t="shared" si="93"/>
        <v>0</v>
      </c>
      <c r="K165" s="7">
        <f t="shared" si="94"/>
        <v>79502497</v>
      </c>
      <c r="L165" s="7">
        <f t="shared" si="102"/>
        <v>79502497</v>
      </c>
      <c r="M165" s="7"/>
      <c r="N165" s="7">
        <f t="shared" si="95"/>
        <v>0</v>
      </c>
      <c r="O165" s="32">
        <f t="shared" si="96"/>
        <v>0</v>
      </c>
      <c r="P165" s="32"/>
      <c r="Q165" s="32">
        <f t="shared" si="97"/>
        <v>5659359</v>
      </c>
      <c r="R165" s="32">
        <f t="shared" si="103"/>
        <v>5659359</v>
      </c>
      <c r="S165" s="32">
        <f t="shared" si="104"/>
        <v>0</v>
      </c>
      <c r="T165" s="32">
        <f t="shared" si="98"/>
        <v>0</v>
      </c>
      <c r="U165" s="32">
        <f t="shared" si="132"/>
        <v>0</v>
      </c>
      <c r="V165" s="32">
        <f t="shared" si="132"/>
        <v>0</v>
      </c>
      <c r="W165" s="32">
        <f t="shared" si="132"/>
        <v>0</v>
      </c>
      <c r="X165" s="32">
        <f t="shared" si="105"/>
        <v>0</v>
      </c>
      <c r="Y165" s="32"/>
      <c r="Z165" s="32">
        <f t="shared" si="132"/>
        <v>0</v>
      </c>
      <c r="AA165" s="32">
        <f t="shared" si="132"/>
        <v>0</v>
      </c>
      <c r="AB165" s="32">
        <f t="shared" si="132"/>
        <v>0</v>
      </c>
      <c r="AC165" s="32">
        <f t="shared" si="106"/>
        <v>0</v>
      </c>
      <c r="AD165" s="32"/>
      <c r="AE165" s="32">
        <f t="shared" si="132"/>
        <v>0</v>
      </c>
      <c r="AF165" s="32">
        <f t="shared" si="132"/>
        <v>0</v>
      </c>
      <c r="AG165" s="32">
        <f t="shared" si="132"/>
        <v>0</v>
      </c>
      <c r="AH165" s="32">
        <f t="shared" si="132"/>
        <v>0</v>
      </c>
      <c r="AI165" s="32">
        <f t="shared" si="132"/>
        <v>0</v>
      </c>
      <c r="AJ165" s="32">
        <f t="shared" si="131"/>
        <v>0</v>
      </c>
      <c r="AK165" s="7">
        <v>0</v>
      </c>
      <c r="AL165" s="32">
        <v>0</v>
      </c>
      <c r="AM165" s="32"/>
      <c r="AN165" s="4">
        <v>0</v>
      </c>
      <c r="AO165" s="32">
        <f t="shared" si="107"/>
        <v>0</v>
      </c>
      <c r="AP165" s="32">
        <f t="shared" si="108"/>
        <v>0</v>
      </c>
      <c r="AS165" s="32">
        <f t="shared" si="109"/>
        <v>0</v>
      </c>
      <c r="AT165" s="32">
        <f t="shared" si="99"/>
        <v>0</v>
      </c>
      <c r="AU165" s="32">
        <f t="shared" si="110"/>
        <v>0</v>
      </c>
      <c r="AV165" s="4">
        <f t="shared" si="111"/>
        <v>0</v>
      </c>
      <c r="AW165" s="32">
        <f t="shared" si="112"/>
        <v>0</v>
      </c>
      <c r="AX165" s="4">
        <f t="shared" si="113"/>
        <v>0</v>
      </c>
      <c r="AY165" s="32">
        <f t="shared" si="114"/>
        <v>0</v>
      </c>
      <c r="AZ165" s="4">
        <f t="shared" si="115"/>
        <v>0</v>
      </c>
      <c r="BA165" s="32">
        <f t="shared" si="116"/>
        <v>0</v>
      </c>
      <c r="BB165" s="32">
        <f t="shared" si="100"/>
        <v>0</v>
      </c>
      <c r="BC165" s="32">
        <f t="shared" si="117"/>
        <v>0</v>
      </c>
      <c r="BD165" s="32">
        <f t="shared" si="118"/>
        <v>0</v>
      </c>
      <c r="BF165" s="32">
        <f t="shared" si="119"/>
        <v>0</v>
      </c>
      <c r="BG165" s="32">
        <f t="shared" si="101"/>
        <v>0</v>
      </c>
      <c r="BH165" s="32">
        <f t="shared" si="120"/>
        <v>0</v>
      </c>
      <c r="BI165" s="4">
        <f t="shared" si="121"/>
        <v>0</v>
      </c>
      <c r="BJ165" s="32">
        <f t="shared" si="122"/>
        <v>0</v>
      </c>
      <c r="BK165" s="4">
        <f t="shared" si="123"/>
        <v>0</v>
      </c>
      <c r="BL165" s="32">
        <f t="shared" si="124"/>
        <v>0</v>
      </c>
      <c r="BM165" s="4">
        <f t="shared" si="125"/>
        <v>0</v>
      </c>
      <c r="BN165" s="32">
        <f t="shared" si="126"/>
        <v>0</v>
      </c>
      <c r="BO165" s="4">
        <f t="shared" si="127"/>
        <v>0</v>
      </c>
      <c r="BP165" s="32">
        <f t="shared" si="128"/>
        <v>0</v>
      </c>
      <c r="BQ165" s="32">
        <f t="shared" si="129"/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  <c r="DO165" s="4">
        <v>0</v>
      </c>
      <c r="DP165" s="4">
        <v>0</v>
      </c>
      <c r="DQ165" s="4">
        <v>0</v>
      </c>
    </row>
    <row r="166" spans="1:121" x14ac:dyDescent="0.35">
      <c r="A166" s="84">
        <f>'2017 Prop share of contribs'!A162</f>
        <v>224</v>
      </c>
      <c r="B166" s="84" t="str">
        <f>'2017 Prop share of contribs'!B162</f>
        <v xml:space="preserve">OWENSBORO CITY SCHOOLS  </v>
      </c>
      <c r="C166" s="25" t="s">
        <v>276</v>
      </c>
      <c r="D166" s="33">
        <f>ROUND('Employer Allocations'!G205,8)</f>
        <v>0</v>
      </c>
      <c r="E166" s="4">
        <f>ROUND('Employer Allocations'!H205,8)</f>
        <v>7.4142699999999997E-3</v>
      </c>
      <c r="F166" s="4">
        <f>ROUND('Employer Allocations'!I205,8)</f>
        <v>7.4142699999999997E-3</v>
      </c>
      <c r="G166" s="4">
        <v>0</v>
      </c>
      <c r="H166" s="4">
        <v>7.2138999999999997E-3</v>
      </c>
      <c r="I166" s="4">
        <v>7.2138999999999997E-3</v>
      </c>
      <c r="J166" s="7">
        <f t="shared" si="93"/>
        <v>0</v>
      </c>
      <c r="K166" s="7">
        <f t="shared" si="94"/>
        <v>200057351</v>
      </c>
      <c r="L166" s="7">
        <f t="shared" si="102"/>
        <v>200057351</v>
      </c>
      <c r="M166" s="7"/>
      <c r="N166" s="7">
        <f t="shared" si="95"/>
        <v>0</v>
      </c>
      <c r="O166" s="32">
        <f t="shared" si="96"/>
        <v>0</v>
      </c>
      <c r="P166" s="32"/>
      <c r="Q166" s="32">
        <f t="shared" si="97"/>
        <v>14241016</v>
      </c>
      <c r="R166" s="32">
        <f t="shared" si="103"/>
        <v>14241016</v>
      </c>
      <c r="S166" s="32">
        <f t="shared" si="104"/>
        <v>0</v>
      </c>
      <c r="T166" s="32">
        <f t="shared" si="98"/>
        <v>0</v>
      </c>
      <c r="U166" s="32">
        <f t="shared" si="132"/>
        <v>0</v>
      </c>
      <c r="V166" s="32">
        <f t="shared" si="132"/>
        <v>0</v>
      </c>
      <c r="W166" s="32">
        <f t="shared" si="132"/>
        <v>0</v>
      </c>
      <c r="X166" s="32">
        <f t="shared" si="105"/>
        <v>0</v>
      </c>
      <c r="Y166" s="32"/>
      <c r="Z166" s="32">
        <f t="shared" si="132"/>
        <v>0</v>
      </c>
      <c r="AA166" s="32">
        <f t="shared" si="132"/>
        <v>0</v>
      </c>
      <c r="AB166" s="32">
        <f t="shared" si="132"/>
        <v>0</v>
      </c>
      <c r="AC166" s="32">
        <f t="shared" si="106"/>
        <v>0</v>
      </c>
      <c r="AD166" s="32"/>
      <c r="AE166" s="32">
        <f t="shared" si="132"/>
        <v>0</v>
      </c>
      <c r="AF166" s="32">
        <f t="shared" si="132"/>
        <v>0</v>
      </c>
      <c r="AG166" s="32">
        <f t="shared" si="132"/>
        <v>0</v>
      </c>
      <c r="AH166" s="32">
        <f t="shared" si="132"/>
        <v>0</v>
      </c>
      <c r="AI166" s="32">
        <f t="shared" si="132"/>
        <v>0</v>
      </c>
      <c r="AJ166" s="32">
        <f t="shared" si="132"/>
        <v>0</v>
      </c>
      <c r="AK166" s="7">
        <v>0</v>
      </c>
      <c r="AL166" s="32">
        <v>0</v>
      </c>
      <c r="AM166" s="32"/>
      <c r="AN166" s="4">
        <v>0</v>
      </c>
      <c r="AO166" s="32">
        <f t="shared" si="107"/>
        <v>0</v>
      </c>
      <c r="AP166" s="32">
        <f t="shared" si="108"/>
        <v>0</v>
      </c>
      <c r="AS166" s="32">
        <f t="shared" si="109"/>
        <v>0</v>
      </c>
      <c r="AT166" s="32">
        <f t="shared" si="99"/>
        <v>0</v>
      </c>
      <c r="AU166" s="32">
        <f t="shared" si="110"/>
        <v>0</v>
      </c>
      <c r="AV166" s="4">
        <f t="shared" si="111"/>
        <v>0</v>
      </c>
      <c r="AW166" s="32">
        <f t="shared" si="112"/>
        <v>0</v>
      </c>
      <c r="AX166" s="4">
        <f t="shared" si="113"/>
        <v>0</v>
      </c>
      <c r="AY166" s="32">
        <f t="shared" si="114"/>
        <v>0</v>
      </c>
      <c r="AZ166" s="4">
        <f t="shared" si="115"/>
        <v>0</v>
      </c>
      <c r="BA166" s="32">
        <f t="shared" si="116"/>
        <v>0</v>
      </c>
      <c r="BB166" s="32">
        <f t="shared" si="100"/>
        <v>0</v>
      </c>
      <c r="BC166" s="32">
        <f t="shared" si="117"/>
        <v>0</v>
      </c>
      <c r="BD166" s="32">
        <f t="shared" si="118"/>
        <v>0</v>
      </c>
      <c r="BF166" s="32">
        <f t="shared" si="119"/>
        <v>0</v>
      </c>
      <c r="BG166" s="32">
        <f t="shared" si="101"/>
        <v>0</v>
      </c>
      <c r="BH166" s="32">
        <f t="shared" si="120"/>
        <v>0</v>
      </c>
      <c r="BI166" s="4">
        <f t="shared" si="121"/>
        <v>0</v>
      </c>
      <c r="BJ166" s="32">
        <f t="shared" si="122"/>
        <v>0</v>
      </c>
      <c r="BK166" s="4">
        <f t="shared" si="123"/>
        <v>0</v>
      </c>
      <c r="BL166" s="32">
        <f t="shared" si="124"/>
        <v>0</v>
      </c>
      <c r="BM166" s="4">
        <f t="shared" si="125"/>
        <v>0</v>
      </c>
      <c r="BN166" s="32">
        <f t="shared" si="126"/>
        <v>0</v>
      </c>
      <c r="BO166" s="4">
        <f t="shared" si="127"/>
        <v>0</v>
      </c>
      <c r="BP166" s="32">
        <f t="shared" si="128"/>
        <v>0</v>
      </c>
      <c r="BQ166" s="32">
        <f t="shared" si="129"/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  <c r="DO166" s="4">
        <v>0</v>
      </c>
      <c r="DP166" s="4">
        <v>0</v>
      </c>
      <c r="DQ166" s="4">
        <v>0</v>
      </c>
    </row>
    <row r="167" spans="1:121" x14ac:dyDescent="0.35">
      <c r="A167" s="84">
        <f>'2017 Prop share of contribs'!A163</f>
        <v>226</v>
      </c>
      <c r="B167" s="84" t="str">
        <f>'2017 Prop share of contribs'!B163</f>
        <v xml:space="preserve">PADUCAH CITY SCHOOLS  </v>
      </c>
      <c r="C167" s="25" t="s">
        <v>277</v>
      </c>
      <c r="D167" s="33">
        <f>ROUND('Employer Allocations'!G206,8)</f>
        <v>0</v>
      </c>
      <c r="E167" s="4">
        <f>ROUND('Employer Allocations'!H206,8)</f>
        <v>4.2300200000000001E-3</v>
      </c>
      <c r="F167" s="4">
        <f>ROUND('Employer Allocations'!I206,8)</f>
        <v>4.2300200000000001E-3</v>
      </c>
      <c r="G167" s="4">
        <v>0</v>
      </c>
      <c r="H167" s="4">
        <v>4.2495299999999996E-3</v>
      </c>
      <c r="I167" s="4">
        <v>4.2495299999999996E-3</v>
      </c>
      <c r="J167" s="7">
        <f t="shared" si="93"/>
        <v>0</v>
      </c>
      <c r="K167" s="7">
        <f t="shared" si="94"/>
        <v>114137548</v>
      </c>
      <c r="L167" s="7">
        <f t="shared" si="102"/>
        <v>114137548</v>
      </c>
      <c r="M167" s="7"/>
      <c r="N167" s="7">
        <f t="shared" si="95"/>
        <v>0</v>
      </c>
      <c r="O167" s="32">
        <f t="shared" si="96"/>
        <v>0</v>
      </c>
      <c r="P167" s="32"/>
      <c r="Q167" s="32">
        <f t="shared" si="97"/>
        <v>8124843</v>
      </c>
      <c r="R167" s="32">
        <f t="shared" si="103"/>
        <v>8124843</v>
      </c>
      <c r="S167" s="32">
        <f t="shared" si="104"/>
        <v>0</v>
      </c>
      <c r="T167" s="32">
        <f t="shared" si="98"/>
        <v>0</v>
      </c>
      <c r="U167" s="32">
        <f t="shared" si="132"/>
        <v>0</v>
      </c>
      <c r="V167" s="32">
        <f t="shared" si="132"/>
        <v>0</v>
      </c>
      <c r="W167" s="32">
        <f t="shared" si="132"/>
        <v>0</v>
      </c>
      <c r="X167" s="32">
        <f t="shared" si="105"/>
        <v>0</v>
      </c>
      <c r="Y167" s="32"/>
      <c r="Z167" s="32">
        <f t="shared" si="132"/>
        <v>0</v>
      </c>
      <c r="AA167" s="32">
        <f t="shared" si="132"/>
        <v>0</v>
      </c>
      <c r="AB167" s="32">
        <f t="shared" si="132"/>
        <v>0</v>
      </c>
      <c r="AC167" s="32">
        <f t="shared" si="106"/>
        <v>0</v>
      </c>
      <c r="AD167" s="32"/>
      <c r="AE167" s="32">
        <f t="shared" si="132"/>
        <v>0</v>
      </c>
      <c r="AF167" s="32">
        <f t="shared" si="132"/>
        <v>0</v>
      </c>
      <c r="AG167" s="32">
        <f t="shared" si="132"/>
        <v>0</v>
      </c>
      <c r="AH167" s="32">
        <f t="shared" si="132"/>
        <v>0</v>
      </c>
      <c r="AI167" s="32">
        <f t="shared" si="132"/>
        <v>0</v>
      </c>
      <c r="AJ167" s="32">
        <f t="shared" si="132"/>
        <v>0</v>
      </c>
      <c r="AK167" s="7">
        <v>0</v>
      </c>
      <c r="AL167" s="32">
        <v>0</v>
      </c>
      <c r="AM167" s="32"/>
      <c r="AN167" s="4">
        <v>0</v>
      </c>
      <c r="AO167" s="32">
        <f t="shared" si="107"/>
        <v>0</v>
      </c>
      <c r="AP167" s="32">
        <f t="shared" si="108"/>
        <v>0</v>
      </c>
      <c r="AS167" s="32">
        <f t="shared" si="109"/>
        <v>0</v>
      </c>
      <c r="AT167" s="32">
        <f t="shared" si="99"/>
        <v>0</v>
      </c>
      <c r="AU167" s="32">
        <f t="shared" si="110"/>
        <v>0</v>
      </c>
      <c r="AV167" s="4">
        <f t="shared" si="111"/>
        <v>0</v>
      </c>
      <c r="AW167" s="32">
        <f t="shared" si="112"/>
        <v>0</v>
      </c>
      <c r="AX167" s="4">
        <f t="shared" si="113"/>
        <v>0</v>
      </c>
      <c r="AY167" s="32">
        <f t="shared" si="114"/>
        <v>0</v>
      </c>
      <c r="AZ167" s="4">
        <f t="shared" si="115"/>
        <v>0</v>
      </c>
      <c r="BA167" s="32">
        <f t="shared" si="116"/>
        <v>0</v>
      </c>
      <c r="BB167" s="32">
        <f t="shared" si="100"/>
        <v>0</v>
      </c>
      <c r="BC167" s="32">
        <f t="shared" si="117"/>
        <v>0</v>
      </c>
      <c r="BD167" s="32">
        <f t="shared" si="118"/>
        <v>0</v>
      </c>
      <c r="BF167" s="32">
        <f t="shared" si="119"/>
        <v>0</v>
      </c>
      <c r="BG167" s="32">
        <f t="shared" si="101"/>
        <v>0</v>
      </c>
      <c r="BH167" s="32">
        <f t="shared" si="120"/>
        <v>0</v>
      </c>
      <c r="BI167" s="4">
        <f t="shared" si="121"/>
        <v>0</v>
      </c>
      <c r="BJ167" s="32">
        <f t="shared" si="122"/>
        <v>0</v>
      </c>
      <c r="BK167" s="4">
        <f t="shared" si="123"/>
        <v>0</v>
      </c>
      <c r="BL167" s="32">
        <f t="shared" si="124"/>
        <v>0</v>
      </c>
      <c r="BM167" s="4">
        <f t="shared" si="125"/>
        <v>0</v>
      </c>
      <c r="BN167" s="32">
        <f t="shared" si="126"/>
        <v>0</v>
      </c>
      <c r="BO167" s="4">
        <f t="shared" si="127"/>
        <v>0</v>
      </c>
      <c r="BP167" s="32">
        <f t="shared" si="128"/>
        <v>0</v>
      </c>
      <c r="BQ167" s="32">
        <f t="shared" si="129"/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  <c r="DO167" s="4">
        <v>0</v>
      </c>
      <c r="DP167" s="4">
        <v>0</v>
      </c>
      <c r="DQ167" s="4">
        <v>0</v>
      </c>
    </row>
    <row r="168" spans="1:121" x14ac:dyDescent="0.35">
      <c r="A168" s="84">
        <f>'2017 Prop share of contribs'!A164</f>
        <v>227</v>
      </c>
      <c r="B168" s="84" t="str">
        <f>'2017 Prop share of contribs'!B164</f>
        <v xml:space="preserve">PAINTSVILLE CITY SCHOOLS  </v>
      </c>
      <c r="C168" s="25" t="s">
        <v>278</v>
      </c>
      <c r="D168" s="33">
        <f>ROUND('Employer Allocations'!G207,8)</f>
        <v>0</v>
      </c>
      <c r="E168" s="4">
        <f>ROUND('Employer Allocations'!H207,8)</f>
        <v>1.29441E-3</v>
      </c>
      <c r="F168" s="4">
        <f>ROUND('Employer Allocations'!I207,8)</f>
        <v>1.29441E-3</v>
      </c>
      <c r="G168" s="4">
        <v>0</v>
      </c>
      <c r="H168" s="4">
        <v>1.3012900000000001E-3</v>
      </c>
      <c r="I168" s="4">
        <v>1.3012900000000001E-3</v>
      </c>
      <c r="J168" s="7">
        <f t="shared" si="93"/>
        <v>0</v>
      </c>
      <c r="K168" s="7">
        <f t="shared" si="94"/>
        <v>34926734</v>
      </c>
      <c r="L168" s="7">
        <f t="shared" si="102"/>
        <v>34926734</v>
      </c>
      <c r="M168" s="7"/>
      <c r="N168" s="7">
        <f t="shared" si="95"/>
        <v>0</v>
      </c>
      <c r="O168" s="32">
        <f t="shared" si="96"/>
        <v>0</v>
      </c>
      <c r="P168" s="32"/>
      <c r="Q168" s="32">
        <f t="shared" si="97"/>
        <v>2486248</v>
      </c>
      <c r="R168" s="32">
        <f t="shared" si="103"/>
        <v>2486248</v>
      </c>
      <c r="S168" s="32">
        <f t="shared" si="104"/>
        <v>0</v>
      </c>
      <c r="T168" s="32">
        <f t="shared" si="98"/>
        <v>0</v>
      </c>
      <c r="U168" s="32">
        <f t="shared" si="132"/>
        <v>0</v>
      </c>
      <c r="V168" s="32">
        <f t="shared" si="132"/>
        <v>0</v>
      </c>
      <c r="W168" s="32">
        <f t="shared" si="132"/>
        <v>0</v>
      </c>
      <c r="X168" s="32">
        <f t="shared" si="105"/>
        <v>0</v>
      </c>
      <c r="Y168" s="32"/>
      <c r="Z168" s="32">
        <f t="shared" si="132"/>
        <v>0</v>
      </c>
      <c r="AA168" s="32">
        <f t="shared" si="132"/>
        <v>0</v>
      </c>
      <c r="AB168" s="32">
        <f t="shared" si="132"/>
        <v>0</v>
      </c>
      <c r="AC168" s="32">
        <f t="shared" si="106"/>
        <v>0</v>
      </c>
      <c r="AD168" s="32"/>
      <c r="AE168" s="32">
        <f t="shared" si="132"/>
        <v>0</v>
      </c>
      <c r="AF168" s="32">
        <f t="shared" si="132"/>
        <v>0</v>
      </c>
      <c r="AG168" s="32">
        <f t="shared" si="132"/>
        <v>0</v>
      </c>
      <c r="AH168" s="32">
        <f t="shared" si="132"/>
        <v>0</v>
      </c>
      <c r="AI168" s="32">
        <f t="shared" si="132"/>
        <v>0</v>
      </c>
      <c r="AJ168" s="32">
        <f t="shared" si="132"/>
        <v>0</v>
      </c>
      <c r="AK168" s="7">
        <v>0</v>
      </c>
      <c r="AL168" s="32">
        <v>0</v>
      </c>
      <c r="AM168" s="32"/>
      <c r="AN168" s="4">
        <v>0</v>
      </c>
      <c r="AO168" s="32">
        <f t="shared" si="107"/>
        <v>0</v>
      </c>
      <c r="AP168" s="32">
        <f t="shared" si="108"/>
        <v>0</v>
      </c>
      <c r="AS168" s="32">
        <f t="shared" si="109"/>
        <v>0</v>
      </c>
      <c r="AT168" s="32">
        <f t="shared" si="99"/>
        <v>0</v>
      </c>
      <c r="AU168" s="32">
        <f t="shared" si="110"/>
        <v>0</v>
      </c>
      <c r="AV168" s="4">
        <f t="shared" si="111"/>
        <v>0</v>
      </c>
      <c r="AW168" s="32">
        <f t="shared" si="112"/>
        <v>0</v>
      </c>
      <c r="AX168" s="4">
        <f t="shared" si="113"/>
        <v>0</v>
      </c>
      <c r="AY168" s="32">
        <f t="shared" si="114"/>
        <v>0</v>
      </c>
      <c r="AZ168" s="4">
        <f t="shared" si="115"/>
        <v>0</v>
      </c>
      <c r="BA168" s="32">
        <f t="shared" si="116"/>
        <v>0</v>
      </c>
      <c r="BB168" s="32">
        <f t="shared" si="100"/>
        <v>0</v>
      </c>
      <c r="BC168" s="32">
        <f t="shared" si="117"/>
        <v>0</v>
      </c>
      <c r="BD168" s="32">
        <f t="shared" si="118"/>
        <v>0</v>
      </c>
      <c r="BF168" s="32">
        <f t="shared" si="119"/>
        <v>0</v>
      </c>
      <c r="BG168" s="32">
        <f t="shared" si="101"/>
        <v>0</v>
      </c>
      <c r="BH168" s="32">
        <f t="shared" si="120"/>
        <v>0</v>
      </c>
      <c r="BI168" s="4">
        <f t="shared" si="121"/>
        <v>0</v>
      </c>
      <c r="BJ168" s="32">
        <f t="shared" si="122"/>
        <v>0</v>
      </c>
      <c r="BK168" s="4">
        <f t="shared" si="123"/>
        <v>0</v>
      </c>
      <c r="BL168" s="32">
        <f t="shared" si="124"/>
        <v>0</v>
      </c>
      <c r="BM168" s="4">
        <f t="shared" si="125"/>
        <v>0</v>
      </c>
      <c r="BN168" s="32">
        <f t="shared" si="126"/>
        <v>0</v>
      </c>
      <c r="BO168" s="4">
        <f t="shared" si="127"/>
        <v>0</v>
      </c>
      <c r="BP168" s="32">
        <f t="shared" si="128"/>
        <v>0</v>
      </c>
      <c r="BQ168" s="32">
        <f t="shared" si="129"/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  <c r="DO168" s="4">
        <v>0</v>
      </c>
      <c r="DP168" s="4">
        <v>0</v>
      </c>
      <c r="DQ168" s="4">
        <v>0</v>
      </c>
    </row>
    <row r="169" spans="1:121" x14ac:dyDescent="0.35">
      <c r="A169" s="84">
        <f>'2017 Prop share of contribs'!A165</f>
        <v>228</v>
      </c>
      <c r="B169" s="84" t="str">
        <f>'2017 Prop share of contribs'!B165</f>
        <v xml:space="preserve">PARIS CITY SCHOOLS  </v>
      </c>
      <c r="C169" s="25" t="s">
        <v>279</v>
      </c>
      <c r="D169" s="33">
        <f>ROUND('Employer Allocations'!G208,8)</f>
        <v>0</v>
      </c>
      <c r="E169" s="4">
        <f>ROUND('Employer Allocations'!H208,8)</f>
        <v>9.4138999999999996E-4</v>
      </c>
      <c r="F169" s="4">
        <f>ROUND('Employer Allocations'!I208,8)</f>
        <v>9.4138999999999996E-4</v>
      </c>
      <c r="G169" s="4">
        <v>0</v>
      </c>
      <c r="H169" s="4">
        <v>1.01582E-3</v>
      </c>
      <c r="I169" s="4">
        <v>1.01582E-3</v>
      </c>
      <c r="J169" s="7">
        <f t="shared" si="93"/>
        <v>0</v>
      </c>
      <c r="K169" s="7">
        <f t="shared" si="94"/>
        <v>25401286</v>
      </c>
      <c r="L169" s="7">
        <f t="shared" si="102"/>
        <v>25401286</v>
      </c>
      <c r="M169" s="7"/>
      <c r="N169" s="7">
        <f t="shared" si="95"/>
        <v>0</v>
      </c>
      <c r="O169" s="32">
        <f t="shared" si="96"/>
        <v>0</v>
      </c>
      <c r="P169" s="32"/>
      <c r="Q169" s="32">
        <f t="shared" si="97"/>
        <v>1808182</v>
      </c>
      <c r="R169" s="32">
        <f t="shared" si="103"/>
        <v>1808182</v>
      </c>
      <c r="S169" s="32">
        <f t="shared" si="104"/>
        <v>0</v>
      </c>
      <c r="T169" s="32">
        <f t="shared" si="98"/>
        <v>0</v>
      </c>
      <c r="U169" s="32">
        <f t="shared" si="132"/>
        <v>0</v>
      </c>
      <c r="V169" s="32">
        <f t="shared" si="132"/>
        <v>0</v>
      </c>
      <c r="W169" s="32">
        <f t="shared" si="132"/>
        <v>0</v>
      </c>
      <c r="X169" s="32">
        <f t="shared" si="105"/>
        <v>0</v>
      </c>
      <c r="Y169" s="32"/>
      <c r="Z169" s="32">
        <f t="shared" si="132"/>
        <v>0</v>
      </c>
      <c r="AA169" s="32">
        <f t="shared" si="132"/>
        <v>0</v>
      </c>
      <c r="AB169" s="32">
        <f t="shared" si="132"/>
        <v>0</v>
      </c>
      <c r="AC169" s="32">
        <f t="shared" si="106"/>
        <v>0</v>
      </c>
      <c r="AD169" s="32"/>
      <c r="AE169" s="32">
        <f t="shared" si="132"/>
        <v>0</v>
      </c>
      <c r="AF169" s="32">
        <f t="shared" si="132"/>
        <v>0</v>
      </c>
      <c r="AG169" s="32">
        <f t="shared" si="132"/>
        <v>0</v>
      </c>
      <c r="AH169" s="32">
        <f t="shared" si="132"/>
        <v>0</v>
      </c>
      <c r="AI169" s="32">
        <f t="shared" si="132"/>
        <v>0</v>
      </c>
      <c r="AJ169" s="32">
        <f t="shared" si="132"/>
        <v>0</v>
      </c>
      <c r="AK169" s="7">
        <v>0</v>
      </c>
      <c r="AL169" s="32">
        <v>0</v>
      </c>
      <c r="AM169" s="32"/>
      <c r="AN169" s="4">
        <v>0</v>
      </c>
      <c r="AO169" s="32">
        <f t="shared" si="107"/>
        <v>0</v>
      </c>
      <c r="AP169" s="32">
        <f t="shared" si="108"/>
        <v>0</v>
      </c>
      <c r="AS169" s="32">
        <f t="shared" si="109"/>
        <v>0</v>
      </c>
      <c r="AT169" s="32">
        <f t="shared" si="99"/>
        <v>0</v>
      </c>
      <c r="AU169" s="32">
        <f t="shared" si="110"/>
        <v>0</v>
      </c>
      <c r="AV169" s="4">
        <f t="shared" si="111"/>
        <v>0</v>
      </c>
      <c r="AW169" s="32">
        <f t="shared" si="112"/>
        <v>0</v>
      </c>
      <c r="AX169" s="4">
        <f t="shared" si="113"/>
        <v>0</v>
      </c>
      <c r="AY169" s="32">
        <f t="shared" si="114"/>
        <v>0</v>
      </c>
      <c r="AZ169" s="4">
        <f t="shared" si="115"/>
        <v>0</v>
      </c>
      <c r="BA169" s="32">
        <f t="shared" si="116"/>
        <v>0</v>
      </c>
      <c r="BB169" s="32">
        <f t="shared" si="100"/>
        <v>0</v>
      </c>
      <c r="BC169" s="32">
        <f t="shared" si="117"/>
        <v>0</v>
      </c>
      <c r="BD169" s="32">
        <f t="shared" si="118"/>
        <v>0</v>
      </c>
      <c r="BF169" s="32">
        <f t="shared" si="119"/>
        <v>0</v>
      </c>
      <c r="BG169" s="32">
        <f t="shared" si="101"/>
        <v>0</v>
      </c>
      <c r="BH169" s="32">
        <f t="shared" si="120"/>
        <v>0</v>
      </c>
      <c r="BI169" s="4">
        <f t="shared" si="121"/>
        <v>0</v>
      </c>
      <c r="BJ169" s="32">
        <f t="shared" si="122"/>
        <v>0</v>
      </c>
      <c r="BK169" s="4">
        <f t="shared" si="123"/>
        <v>0</v>
      </c>
      <c r="BL169" s="32">
        <f t="shared" si="124"/>
        <v>0</v>
      </c>
      <c r="BM169" s="4">
        <f t="shared" si="125"/>
        <v>0</v>
      </c>
      <c r="BN169" s="32">
        <f t="shared" si="126"/>
        <v>0</v>
      </c>
      <c r="BO169" s="4">
        <f t="shared" si="127"/>
        <v>0</v>
      </c>
      <c r="BP169" s="32">
        <f t="shared" si="128"/>
        <v>0</v>
      </c>
      <c r="BQ169" s="32">
        <f t="shared" si="129"/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S169" s="4">
        <v>0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  <c r="DO169" s="4">
        <v>0</v>
      </c>
      <c r="DP169" s="4">
        <v>0</v>
      </c>
      <c r="DQ169" s="4">
        <v>0</v>
      </c>
    </row>
    <row r="170" spans="1:121" x14ac:dyDescent="0.35">
      <c r="A170" s="84">
        <f>'2017 Prop share of contribs'!A166</f>
        <v>230</v>
      </c>
      <c r="B170" s="84" t="str">
        <f>'2017 Prop share of contribs'!B166</f>
        <v xml:space="preserve">PIKEVILLE CITY SCHOOLS  </v>
      </c>
      <c r="C170" s="25" t="s">
        <v>280</v>
      </c>
      <c r="D170" s="33">
        <f>ROUND('Employer Allocations'!G209,8)</f>
        <v>0</v>
      </c>
      <c r="E170" s="4">
        <f>ROUND('Employer Allocations'!H209,8)</f>
        <v>2.1607100000000001E-3</v>
      </c>
      <c r="F170" s="4">
        <f>ROUND('Employer Allocations'!I209,8)</f>
        <v>2.1607100000000001E-3</v>
      </c>
      <c r="G170" s="4">
        <v>0</v>
      </c>
      <c r="H170" s="4">
        <v>2.1128100000000001E-3</v>
      </c>
      <c r="I170" s="4">
        <v>2.1128100000000001E-3</v>
      </c>
      <c r="J170" s="7">
        <f t="shared" si="93"/>
        <v>0</v>
      </c>
      <c r="K170" s="7">
        <f t="shared" si="94"/>
        <v>58301885</v>
      </c>
      <c r="L170" s="7">
        <f t="shared" si="102"/>
        <v>58301885</v>
      </c>
      <c r="M170" s="7"/>
      <c r="N170" s="7">
        <f t="shared" si="95"/>
        <v>0</v>
      </c>
      <c r="O170" s="32">
        <f t="shared" si="96"/>
        <v>0</v>
      </c>
      <c r="P170" s="32"/>
      <c r="Q170" s="32">
        <f t="shared" si="97"/>
        <v>4150200</v>
      </c>
      <c r="R170" s="32">
        <f t="shared" si="103"/>
        <v>4150200</v>
      </c>
      <c r="S170" s="32">
        <f t="shared" si="104"/>
        <v>0</v>
      </c>
      <c r="T170" s="32">
        <f t="shared" si="98"/>
        <v>0</v>
      </c>
      <c r="U170" s="32">
        <f t="shared" ref="U170:AJ182" si="133">ROUND(U$2*$D170,0)</f>
        <v>0</v>
      </c>
      <c r="V170" s="32">
        <f t="shared" si="133"/>
        <v>0</v>
      </c>
      <c r="W170" s="32">
        <f t="shared" si="133"/>
        <v>0</v>
      </c>
      <c r="X170" s="32">
        <f t="shared" si="105"/>
        <v>0</v>
      </c>
      <c r="Y170" s="32"/>
      <c r="Z170" s="32">
        <f t="shared" si="133"/>
        <v>0</v>
      </c>
      <c r="AA170" s="32">
        <f t="shared" si="133"/>
        <v>0</v>
      </c>
      <c r="AB170" s="32">
        <f t="shared" si="133"/>
        <v>0</v>
      </c>
      <c r="AC170" s="32">
        <f t="shared" si="106"/>
        <v>0</v>
      </c>
      <c r="AD170" s="32"/>
      <c r="AE170" s="32">
        <f t="shared" si="133"/>
        <v>0</v>
      </c>
      <c r="AF170" s="32">
        <f t="shared" si="133"/>
        <v>0</v>
      </c>
      <c r="AG170" s="32">
        <f t="shared" si="133"/>
        <v>0</v>
      </c>
      <c r="AH170" s="32">
        <f t="shared" si="133"/>
        <v>0</v>
      </c>
      <c r="AI170" s="32">
        <f t="shared" si="133"/>
        <v>0</v>
      </c>
      <c r="AJ170" s="32">
        <f t="shared" si="132"/>
        <v>0</v>
      </c>
      <c r="AK170" s="7">
        <v>0</v>
      </c>
      <c r="AL170" s="32">
        <v>0</v>
      </c>
      <c r="AM170" s="32"/>
      <c r="AN170" s="4">
        <v>0</v>
      </c>
      <c r="AO170" s="32">
        <f t="shared" si="107"/>
        <v>0</v>
      </c>
      <c r="AP170" s="32">
        <f t="shared" si="108"/>
        <v>0</v>
      </c>
      <c r="AS170" s="32">
        <f t="shared" si="109"/>
        <v>0</v>
      </c>
      <c r="AT170" s="32">
        <f t="shared" si="99"/>
        <v>0</v>
      </c>
      <c r="AU170" s="32">
        <f t="shared" si="110"/>
        <v>0</v>
      </c>
      <c r="AV170" s="4">
        <f t="shared" si="111"/>
        <v>0</v>
      </c>
      <c r="AW170" s="32">
        <f t="shared" si="112"/>
        <v>0</v>
      </c>
      <c r="AX170" s="4">
        <f t="shared" si="113"/>
        <v>0</v>
      </c>
      <c r="AY170" s="32">
        <f t="shared" si="114"/>
        <v>0</v>
      </c>
      <c r="AZ170" s="4">
        <f t="shared" si="115"/>
        <v>0</v>
      </c>
      <c r="BA170" s="32">
        <f t="shared" si="116"/>
        <v>0</v>
      </c>
      <c r="BB170" s="32">
        <f t="shared" si="100"/>
        <v>0</v>
      </c>
      <c r="BC170" s="32">
        <f t="shared" si="117"/>
        <v>0</v>
      </c>
      <c r="BD170" s="32">
        <f t="shared" si="118"/>
        <v>0</v>
      </c>
      <c r="BF170" s="32">
        <f t="shared" si="119"/>
        <v>0</v>
      </c>
      <c r="BG170" s="32">
        <f t="shared" si="101"/>
        <v>0</v>
      </c>
      <c r="BH170" s="32">
        <f t="shared" si="120"/>
        <v>0</v>
      </c>
      <c r="BI170" s="4">
        <f t="shared" si="121"/>
        <v>0</v>
      </c>
      <c r="BJ170" s="32">
        <f t="shared" si="122"/>
        <v>0</v>
      </c>
      <c r="BK170" s="4">
        <f t="shared" si="123"/>
        <v>0</v>
      </c>
      <c r="BL170" s="32">
        <f t="shared" si="124"/>
        <v>0</v>
      </c>
      <c r="BM170" s="4">
        <f t="shared" si="125"/>
        <v>0</v>
      </c>
      <c r="BN170" s="32">
        <f t="shared" si="126"/>
        <v>0</v>
      </c>
      <c r="BO170" s="4">
        <f t="shared" si="127"/>
        <v>0</v>
      </c>
      <c r="BP170" s="32">
        <f t="shared" si="128"/>
        <v>0</v>
      </c>
      <c r="BQ170" s="32">
        <f t="shared" si="129"/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  <c r="DO170" s="4">
        <v>0</v>
      </c>
      <c r="DP170" s="4">
        <v>0</v>
      </c>
      <c r="DQ170" s="4">
        <v>0</v>
      </c>
    </row>
    <row r="171" spans="1:121" x14ac:dyDescent="0.35">
      <c r="A171" s="84">
        <f>'2017 Prop share of contribs'!A167</f>
        <v>231</v>
      </c>
      <c r="B171" s="84" t="str">
        <f>'2017 Prop share of contribs'!B167</f>
        <v xml:space="preserve">PINEVILLE CITY SCHOOLS  </v>
      </c>
      <c r="C171" s="25" t="s">
        <v>281</v>
      </c>
      <c r="D171" s="33">
        <f>ROUND('Employer Allocations'!G210,8)</f>
        <v>0</v>
      </c>
      <c r="E171" s="4">
        <f>ROUND('Employer Allocations'!H210,8)</f>
        <v>6.5368999999999996E-4</v>
      </c>
      <c r="F171" s="4">
        <f>ROUND('Employer Allocations'!I210,8)</f>
        <v>6.5368999999999996E-4</v>
      </c>
      <c r="G171" s="4">
        <v>0</v>
      </c>
      <c r="H171" s="4">
        <v>6.4869999999999999E-4</v>
      </c>
      <c r="I171" s="4">
        <v>6.4869999999999999E-4</v>
      </c>
      <c r="J171" s="7">
        <f t="shared" si="93"/>
        <v>0</v>
      </c>
      <c r="K171" s="7">
        <f t="shared" si="94"/>
        <v>17638350</v>
      </c>
      <c r="L171" s="7">
        <f t="shared" si="102"/>
        <v>17638350</v>
      </c>
      <c r="M171" s="7"/>
      <c r="N171" s="7">
        <f t="shared" si="95"/>
        <v>0</v>
      </c>
      <c r="O171" s="32">
        <f t="shared" si="96"/>
        <v>0</v>
      </c>
      <c r="P171" s="32"/>
      <c r="Q171" s="32">
        <f t="shared" si="97"/>
        <v>1255580</v>
      </c>
      <c r="R171" s="32">
        <f t="shared" si="103"/>
        <v>1255580</v>
      </c>
      <c r="S171" s="32">
        <f t="shared" si="104"/>
        <v>0</v>
      </c>
      <c r="T171" s="32">
        <f t="shared" si="98"/>
        <v>0</v>
      </c>
      <c r="U171" s="32">
        <f t="shared" si="133"/>
        <v>0</v>
      </c>
      <c r="V171" s="32">
        <f t="shared" si="133"/>
        <v>0</v>
      </c>
      <c r="W171" s="32">
        <f t="shared" si="133"/>
        <v>0</v>
      </c>
      <c r="X171" s="32">
        <f t="shared" si="105"/>
        <v>0</v>
      </c>
      <c r="Y171" s="32"/>
      <c r="Z171" s="32">
        <f t="shared" si="133"/>
        <v>0</v>
      </c>
      <c r="AA171" s="32">
        <f t="shared" si="133"/>
        <v>0</v>
      </c>
      <c r="AB171" s="32">
        <f t="shared" si="133"/>
        <v>0</v>
      </c>
      <c r="AC171" s="32">
        <f t="shared" si="106"/>
        <v>0</v>
      </c>
      <c r="AD171" s="32"/>
      <c r="AE171" s="32">
        <f t="shared" si="133"/>
        <v>0</v>
      </c>
      <c r="AF171" s="32">
        <f t="shared" si="133"/>
        <v>0</v>
      </c>
      <c r="AG171" s="32">
        <f t="shared" si="133"/>
        <v>0</v>
      </c>
      <c r="AH171" s="32">
        <f t="shared" si="133"/>
        <v>0</v>
      </c>
      <c r="AI171" s="32">
        <f t="shared" si="133"/>
        <v>0</v>
      </c>
      <c r="AJ171" s="32">
        <f t="shared" si="132"/>
        <v>0</v>
      </c>
      <c r="AK171" s="7">
        <v>0</v>
      </c>
      <c r="AL171" s="32">
        <v>0</v>
      </c>
      <c r="AM171" s="32"/>
      <c r="AN171" s="4">
        <v>0</v>
      </c>
      <c r="AO171" s="32">
        <f t="shared" si="107"/>
        <v>0</v>
      </c>
      <c r="AP171" s="32">
        <f t="shared" si="108"/>
        <v>0</v>
      </c>
      <c r="AS171" s="32">
        <f t="shared" si="109"/>
        <v>0</v>
      </c>
      <c r="AT171" s="32">
        <f t="shared" si="99"/>
        <v>0</v>
      </c>
      <c r="AU171" s="32">
        <f t="shared" si="110"/>
        <v>0</v>
      </c>
      <c r="AV171" s="4">
        <f t="shared" si="111"/>
        <v>0</v>
      </c>
      <c r="AW171" s="32">
        <f t="shared" si="112"/>
        <v>0</v>
      </c>
      <c r="AX171" s="4">
        <f t="shared" si="113"/>
        <v>0</v>
      </c>
      <c r="AY171" s="32">
        <f t="shared" si="114"/>
        <v>0</v>
      </c>
      <c r="AZ171" s="4">
        <f t="shared" si="115"/>
        <v>0</v>
      </c>
      <c r="BA171" s="32">
        <f t="shared" si="116"/>
        <v>0</v>
      </c>
      <c r="BB171" s="32">
        <f t="shared" si="100"/>
        <v>0</v>
      </c>
      <c r="BC171" s="32">
        <f t="shared" si="117"/>
        <v>0</v>
      </c>
      <c r="BD171" s="32">
        <f t="shared" si="118"/>
        <v>0</v>
      </c>
      <c r="BF171" s="32">
        <f t="shared" si="119"/>
        <v>0</v>
      </c>
      <c r="BG171" s="32">
        <f t="shared" si="101"/>
        <v>0</v>
      </c>
      <c r="BH171" s="32">
        <f t="shared" si="120"/>
        <v>0</v>
      </c>
      <c r="BI171" s="4">
        <f t="shared" si="121"/>
        <v>0</v>
      </c>
      <c r="BJ171" s="32">
        <f t="shared" si="122"/>
        <v>0</v>
      </c>
      <c r="BK171" s="4">
        <f t="shared" si="123"/>
        <v>0</v>
      </c>
      <c r="BL171" s="32">
        <f t="shared" si="124"/>
        <v>0</v>
      </c>
      <c r="BM171" s="4">
        <f t="shared" si="125"/>
        <v>0</v>
      </c>
      <c r="BN171" s="32">
        <f t="shared" si="126"/>
        <v>0</v>
      </c>
      <c r="BO171" s="4">
        <f t="shared" si="127"/>
        <v>0</v>
      </c>
      <c r="BP171" s="32">
        <f t="shared" si="128"/>
        <v>0</v>
      </c>
      <c r="BQ171" s="32">
        <f t="shared" si="129"/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S171" s="4">
        <v>0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  <c r="DO171" s="4">
        <v>0</v>
      </c>
      <c r="DP171" s="4">
        <v>0</v>
      </c>
      <c r="DQ171" s="4">
        <v>0</v>
      </c>
    </row>
    <row r="172" spans="1:121" x14ac:dyDescent="0.35">
      <c r="A172" s="84">
        <f>'2017 Prop share of contribs'!A168</f>
        <v>235</v>
      </c>
      <c r="B172" s="84" t="str">
        <f>'2017 Prop share of contribs'!B168</f>
        <v xml:space="preserve">RACELAND CITY SCHOOLS  </v>
      </c>
      <c r="C172" s="25" t="s">
        <v>282</v>
      </c>
      <c r="D172" s="33">
        <f>ROUND('Employer Allocations'!G211,8)</f>
        <v>0</v>
      </c>
      <c r="E172" s="4">
        <f>ROUND('Employer Allocations'!H211,8)</f>
        <v>1.42654E-3</v>
      </c>
      <c r="F172" s="4">
        <f>ROUND('Employer Allocations'!I211,8)</f>
        <v>1.42654E-3</v>
      </c>
      <c r="G172" s="4">
        <v>0</v>
      </c>
      <c r="H172" s="4">
        <v>1.4616900000000001E-3</v>
      </c>
      <c r="I172" s="4">
        <v>1.4616900000000001E-3</v>
      </c>
      <c r="J172" s="7">
        <f t="shared" si="93"/>
        <v>0</v>
      </c>
      <c r="K172" s="7">
        <f t="shared" si="94"/>
        <v>38491964</v>
      </c>
      <c r="L172" s="7">
        <f t="shared" si="102"/>
        <v>38491964</v>
      </c>
      <c r="M172" s="7"/>
      <c r="N172" s="7">
        <f t="shared" si="95"/>
        <v>0</v>
      </c>
      <c r="O172" s="32">
        <f t="shared" si="96"/>
        <v>0</v>
      </c>
      <c r="P172" s="32"/>
      <c r="Q172" s="32">
        <f t="shared" si="97"/>
        <v>2740038</v>
      </c>
      <c r="R172" s="32">
        <f t="shared" si="103"/>
        <v>2740038</v>
      </c>
      <c r="S172" s="32">
        <f t="shared" si="104"/>
        <v>0</v>
      </c>
      <c r="T172" s="32">
        <f t="shared" si="98"/>
        <v>0</v>
      </c>
      <c r="U172" s="32">
        <f t="shared" si="133"/>
        <v>0</v>
      </c>
      <c r="V172" s="32">
        <f t="shared" si="133"/>
        <v>0</v>
      </c>
      <c r="W172" s="32">
        <f t="shared" si="133"/>
        <v>0</v>
      </c>
      <c r="X172" s="32">
        <f t="shared" si="105"/>
        <v>0</v>
      </c>
      <c r="Y172" s="32"/>
      <c r="Z172" s="32">
        <f t="shared" si="133"/>
        <v>0</v>
      </c>
      <c r="AA172" s="32">
        <f t="shared" si="133"/>
        <v>0</v>
      </c>
      <c r="AB172" s="32">
        <f t="shared" si="133"/>
        <v>0</v>
      </c>
      <c r="AC172" s="32">
        <f t="shared" si="106"/>
        <v>0</v>
      </c>
      <c r="AD172" s="32"/>
      <c r="AE172" s="32">
        <f t="shared" si="133"/>
        <v>0</v>
      </c>
      <c r="AF172" s="32">
        <f t="shared" si="133"/>
        <v>0</v>
      </c>
      <c r="AG172" s="32">
        <f t="shared" si="133"/>
        <v>0</v>
      </c>
      <c r="AH172" s="32">
        <f t="shared" si="133"/>
        <v>0</v>
      </c>
      <c r="AI172" s="32">
        <f t="shared" si="133"/>
        <v>0</v>
      </c>
      <c r="AJ172" s="32">
        <f t="shared" si="132"/>
        <v>0</v>
      </c>
      <c r="AK172" s="7">
        <v>0</v>
      </c>
      <c r="AL172" s="32">
        <v>0</v>
      </c>
      <c r="AM172" s="32"/>
      <c r="AN172" s="4">
        <v>0</v>
      </c>
      <c r="AO172" s="32">
        <f t="shared" si="107"/>
        <v>0</v>
      </c>
      <c r="AP172" s="32">
        <f t="shared" si="108"/>
        <v>0</v>
      </c>
      <c r="AS172" s="32">
        <f t="shared" si="109"/>
        <v>0</v>
      </c>
      <c r="AT172" s="32">
        <f t="shared" si="99"/>
        <v>0</v>
      </c>
      <c r="AU172" s="32">
        <f t="shared" si="110"/>
        <v>0</v>
      </c>
      <c r="AV172" s="4">
        <f t="shared" si="111"/>
        <v>0</v>
      </c>
      <c r="AW172" s="32">
        <f t="shared" si="112"/>
        <v>0</v>
      </c>
      <c r="AX172" s="4">
        <f t="shared" si="113"/>
        <v>0</v>
      </c>
      <c r="AY172" s="32">
        <f t="shared" si="114"/>
        <v>0</v>
      </c>
      <c r="AZ172" s="4">
        <f t="shared" si="115"/>
        <v>0</v>
      </c>
      <c r="BA172" s="32">
        <f t="shared" si="116"/>
        <v>0</v>
      </c>
      <c r="BB172" s="32">
        <f t="shared" si="100"/>
        <v>0</v>
      </c>
      <c r="BC172" s="32">
        <f t="shared" si="117"/>
        <v>0</v>
      </c>
      <c r="BD172" s="32">
        <f t="shared" si="118"/>
        <v>0</v>
      </c>
      <c r="BF172" s="32">
        <f t="shared" si="119"/>
        <v>0</v>
      </c>
      <c r="BG172" s="32">
        <f t="shared" si="101"/>
        <v>0</v>
      </c>
      <c r="BH172" s="32">
        <f t="shared" si="120"/>
        <v>0</v>
      </c>
      <c r="BI172" s="4">
        <f t="shared" si="121"/>
        <v>0</v>
      </c>
      <c r="BJ172" s="32">
        <f t="shared" si="122"/>
        <v>0</v>
      </c>
      <c r="BK172" s="4">
        <f t="shared" si="123"/>
        <v>0</v>
      </c>
      <c r="BL172" s="32">
        <f t="shared" si="124"/>
        <v>0</v>
      </c>
      <c r="BM172" s="4">
        <f t="shared" si="125"/>
        <v>0</v>
      </c>
      <c r="BN172" s="32">
        <f t="shared" si="126"/>
        <v>0</v>
      </c>
      <c r="BO172" s="4">
        <f t="shared" si="127"/>
        <v>0</v>
      </c>
      <c r="BP172" s="32">
        <f t="shared" si="128"/>
        <v>0</v>
      </c>
      <c r="BQ172" s="32">
        <f t="shared" si="129"/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  <c r="DO172" s="4">
        <v>0</v>
      </c>
      <c r="DP172" s="4">
        <v>0</v>
      </c>
      <c r="DQ172" s="4">
        <v>0</v>
      </c>
    </row>
    <row r="173" spans="1:121" x14ac:dyDescent="0.35">
      <c r="A173" s="84">
        <f>'2017 Prop share of contribs'!A169</f>
        <v>238</v>
      </c>
      <c r="B173" s="84" t="str">
        <f>'2017 Prop share of contribs'!B169</f>
        <v xml:space="preserve">RUSSELL CITY SCHOOLS  </v>
      </c>
      <c r="C173" s="25" t="s">
        <v>283</v>
      </c>
      <c r="D173" s="33">
        <f>ROUND('Employer Allocations'!G212,8)</f>
        <v>0</v>
      </c>
      <c r="E173" s="4">
        <f>ROUND('Employer Allocations'!H212,8)</f>
        <v>3.2554300000000001E-3</v>
      </c>
      <c r="F173" s="4">
        <f>ROUND('Employer Allocations'!I212,8)</f>
        <v>3.2554300000000001E-3</v>
      </c>
      <c r="G173" s="4">
        <v>0</v>
      </c>
      <c r="H173" s="4">
        <v>3.2406100000000001E-3</v>
      </c>
      <c r="I173" s="4">
        <v>3.2406100000000001E-3</v>
      </c>
      <c r="J173" s="7">
        <f t="shared" si="93"/>
        <v>0</v>
      </c>
      <c r="K173" s="7">
        <f t="shared" si="94"/>
        <v>87840435</v>
      </c>
      <c r="L173" s="7">
        <f t="shared" si="102"/>
        <v>87840435</v>
      </c>
      <c r="M173" s="7"/>
      <c r="N173" s="7">
        <f t="shared" si="95"/>
        <v>0</v>
      </c>
      <c r="O173" s="32">
        <f t="shared" si="96"/>
        <v>0</v>
      </c>
      <c r="P173" s="32"/>
      <c r="Q173" s="32">
        <f t="shared" si="97"/>
        <v>6252892</v>
      </c>
      <c r="R173" s="32">
        <f t="shared" si="103"/>
        <v>6252892</v>
      </c>
      <c r="S173" s="32">
        <f t="shared" si="104"/>
        <v>0</v>
      </c>
      <c r="T173" s="32">
        <f t="shared" si="98"/>
        <v>0</v>
      </c>
      <c r="U173" s="32">
        <f t="shared" si="133"/>
        <v>0</v>
      </c>
      <c r="V173" s="32">
        <f t="shared" si="133"/>
        <v>0</v>
      </c>
      <c r="W173" s="32">
        <f t="shared" si="133"/>
        <v>0</v>
      </c>
      <c r="X173" s="32">
        <f t="shared" si="105"/>
        <v>0</v>
      </c>
      <c r="Y173" s="32"/>
      <c r="Z173" s="32">
        <f t="shared" si="133"/>
        <v>0</v>
      </c>
      <c r="AA173" s="32">
        <f t="shared" si="133"/>
        <v>0</v>
      </c>
      <c r="AB173" s="32">
        <f t="shared" si="133"/>
        <v>0</v>
      </c>
      <c r="AC173" s="32">
        <f t="shared" si="106"/>
        <v>0</v>
      </c>
      <c r="AD173" s="32"/>
      <c r="AE173" s="32">
        <f t="shared" si="133"/>
        <v>0</v>
      </c>
      <c r="AF173" s="32">
        <f t="shared" si="133"/>
        <v>0</v>
      </c>
      <c r="AG173" s="32">
        <f t="shared" si="133"/>
        <v>0</v>
      </c>
      <c r="AH173" s="32">
        <f t="shared" si="133"/>
        <v>0</v>
      </c>
      <c r="AI173" s="32">
        <f t="shared" si="133"/>
        <v>0</v>
      </c>
      <c r="AJ173" s="32">
        <f t="shared" si="132"/>
        <v>0</v>
      </c>
      <c r="AK173" s="7">
        <v>0</v>
      </c>
      <c r="AL173" s="32">
        <v>0</v>
      </c>
      <c r="AM173" s="32"/>
      <c r="AN173" s="4">
        <v>0</v>
      </c>
      <c r="AO173" s="32">
        <f t="shared" si="107"/>
        <v>0</v>
      </c>
      <c r="AP173" s="32">
        <f t="shared" si="108"/>
        <v>0</v>
      </c>
      <c r="AS173" s="32">
        <f t="shared" si="109"/>
        <v>0</v>
      </c>
      <c r="AT173" s="32">
        <f t="shared" si="99"/>
        <v>0</v>
      </c>
      <c r="AU173" s="32">
        <f t="shared" si="110"/>
        <v>0</v>
      </c>
      <c r="AV173" s="4">
        <f t="shared" si="111"/>
        <v>0</v>
      </c>
      <c r="AW173" s="32">
        <f t="shared" si="112"/>
        <v>0</v>
      </c>
      <c r="AX173" s="4">
        <f t="shared" si="113"/>
        <v>0</v>
      </c>
      <c r="AY173" s="32">
        <f t="shared" si="114"/>
        <v>0</v>
      </c>
      <c r="AZ173" s="4">
        <f t="shared" si="115"/>
        <v>0</v>
      </c>
      <c r="BA173" s="32">
        <f t="shared" si="116"/>
        <v>0</v>
      </c>
      <c r="BB173" s="32">
        <f t="shared" si="100"/>
        <v>0</v>
      </c>
      <c r="BC173" s="32">
        <f t="shared" si="117"/>
        <v>0</v>
      </c>
      <c r="BD173" s="32">
        <f t="shared" si="118"/>
        <v>0</v>
      </c>
      <c r="BF173" s="32">
        <f t="shared" si="119"/>
        <v>0</v>
      </c>
      <c r="BG173" s="32">
        <f t="shared" si="101"/>
        <v>0</v>
      </c>
      <c r="BH173" s="32">
        <f t="shared" si="120"/>
        <v>0</v>
      </c>
      <c r="BI173" s="4">
        <f t="shared" si="121"/>
        <v>0</v>
      </c>
      <c r="BJ173" s="32">
        <f t="shared" si="122"/>
        <v>0</v>
      </c>
      <c r="BK173" s="4">
        <f t="shared" si="123"/>
        <v>0</v>
      </c>
      <c r="BL173" s="32">
        <f t="shared" si="124"/>
        <v>0</v>
      </c>
      <c r="BM173" s="4">
        <f t="shared" si="125"/>
        <v>0</v>
      </c>
      <c r="BN173" s="32">
        <f t="shared" si="126"/>
        <v>0</v>
      </c>
      <c r="BO173" s="4">
        <f t="shared" si="127"/>
        <v>0</v>
      </c>
      <c r="BP173" s="32">
        <f t="shared" si="128"/>
        <v>0</v>
      </c>
      <c r="BQ173" s="32">
        <f t="shared" si="129"/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  <c r="DO173" s="4">
        <v>0</v>
      </c>
      <c r="DP173" s="4">
        <v>0</v>
      </c>
      <c r="DQ173" s="4">
        <v>0</v>
      </c>
    </row>
    <row r="174" spans="1:121" x14ac:dyDescent="0.35">
      <c r="A174" s="84">
        <f>'2017 Prop share of contribs'!A170</f>
        <v>239</v>
      </c>
      <c r="B174" s="84" t="str">
        <f>'2017 Prop share of contribs'!B170</f>
        <v xml:space="preserve">RUSSELLVILLE CITY SCHOOLS  </v>
      </c>
      <c r="C174" s="25" t="s">
        <v>284</v>
      </c>
      <c r="D174" s="33">
        <f>ROUND('Employer Allocations'!G213,8)</f>
        <v>0</v>
      </c>
      <c r="E174" s="4">
        <f>ROUND('Employer Allocations'!H213,8)</f>
        <v>1.38652E-3</v>
      </c>
      <c r="F174" s="4">
        <f>ROUND('Employer Allocations'!I213,8)</f>
        <v>1.38652E-3</v>
      </c>
      <c r="G174" s="4">
        <v>0</v>
      </c>
      <c r="H174" s="4">
        <v>1.3475099999999999E-3</v>
      </c>
      <c r="I174" s="4">
        <v>1.3475099999999999E-3</v>
      </c>
      <c r="J174" s="7">
        <f t="shared" si="93"/>
        <v>0</v>
      </c>
      <c r="K174" s="7">
        <f t="shared" si="94"/>
        <v>37412114</v>
      </c>
      <c r="L174" s="7">
        <f t="shared" si="102"/>
        <v>37412114</v>
      </c>
      <c r="M174" s="7"/>
      <c r="N174" s="7">
        <f t="shared" si="95"/>
        <v>0</v>
      </c>
      <c r="O174" s="32">
        <f t="shared" si="96"/>
        <v>0</v>
      </c>
      <c r="P174" s="32"/>
      <c r="Q174" s="32">
        <f t="shared" si="97"/>
        <v>2663169</v>
      </c>
      <c r="R174" s="32">
        <f t="shared" si="103"/>
        <v>2663169</v>
      </c>
      <c r="S174" s="32">
        <f t="shared" si="104"/>
        <v>0</v>
      </c>
      <c r="T174" s="32">
        <f t="shared" si="98"/>
        <v>0</v>
      </c>
      <c r="U174" s="32">
        <f t="shared" si="133"/>
        <v>0</v>
      </c>
      <c r="V174" s="32">
        <f t="shared" si="133"/>
        <v>0</v>
      </c>
      <c r="W174" s="32">
        <f t="shared" si="133"/>
        <v>0</v>
      </c>
      <c r="X174" s="32">
        <f t="shared" si="105"/>
        <v>0</v>
      </c>
      <c r="Y174" s="32"/>
      <c r="Z174" s="32">
        <f t="shared" si="133"/>
        <v>0</v>
      </c>
      <c r="AA174" s="32">
        <f t="shared" si="133"/>
        <v>0</v>
      </c>
      <c r="AB174" s="32">
        <f t="shared" si="133"/>
        <v>0</v>
      </c>
      <c r="AC174" s="32">
        <f t="shared" si="106"/>
        <v>0</v>
      </c>
      <c r="AD174" s="32"/>
      <c r="AE174" s="32">
        <f t="shared" si="133"/>
        <v>0</v>
      </c>
      <c r="AF174" s="32">
        <f t="shared" si="133"/>
        <v>0</v>
      </c>
      <c r="AG174" s="32">
        <f t="shared" si="133"/>
        <v>0</v>
      </c>
      <c r="AH174" s="32">
        <f t="shared" si="133"/>
        <v>0</v>
      </c>
      <c r="AI174" s="32">
        <f t="shared" si="133"/>
        <v>0</v>
      </c>
      <c r="AJ174" s="32">
        <f t="shared" si="132"/>
        <v>0</v>
      </c>
      <c r="AK174" s="7">
        <v>0</v>
      </c>
      <c r="AL174" s="32">
        <v>0</v>
      </c>
      <c r="AM174" s="32"/>
      <c r="AN174" s="4">
        <v>0</v>
      </c>
      <c r="AO174" s="32">
        <f t="shared" si="107"/>
        <v>0</v>
      </c>
      <c r="AP174" s="32">
        <f t="shared" si="108"/>
        <v>0</v>
      </c>
      <c r="AS174" s="32">
        <f t="shared" si="109"/>
        <v>0</v>
      </c>
      <c r="AT174" s="32">
        <f t="shared" si="99"/>
        <v>0</v>
      </c>
      <c r="AU174" s="32">
        <f t="shared" si="110"/>
        <v>0</v>
      </c>
      <c r="AV174" s="4">
        <f t="shared" si="111"/>
        <v>0</v>
      </c>
      <c r="AW174" s="32">
        <f t="shared" si="112"/>
        <v>0</v>
      </c>
      <c r="AX174" s="4">
        <f t="shared" si="113"/>
        <v>0</v>
      </c>
      <c r="AY174" s="32">
        <f t="shared" si="114"/>
        <v>0</v>
      </c>
      <c r="AZ174" s="4">
        <f t="shared" si="115"/>
        <v>0</v>
      </c>
      <c r="BA174" s="32">
        <f t="shared" si="116"/>
        <v>0</v>
      </c>
      <c r="BB174" s="32">
        <f t="shared" si="100"/>
        <v>0</v>
      </c>
      <c r="BC174" s="32">
        <f t="shared" si="117"/>
        <v>0</v>
      </c>
      <c r="BD174" s="32">
        <f t="shared" si="118"/>
        <v>0</v>
      </c>
      <c r="BF174" s="32">
        <f t="shared" si="119"/>
        <v>0</v>
      </c>
      <c r="BG174" s="32">
        <f t="shared" si="101"/>
        <v>0</v>
      </c>
      <c r="BH174" s="32">
        <f t="shared" si="120"/>
        <v>0</v>
      </c>
      <c r="BI174" s="4">
        <f t="shared" si="121"/>
        <v>0</v>
      </c>
      <c r="BJ174" s="32">
        <f t="shared" si="122"/>
        <v>0</v>
      </c>
      <c r="BK174" s="4">
        <f t="shared" si="123"/>
        <v>0</v>
      </c>
      <c r="BL174" s="32">
        <f t="shared" si="124"/>
        <v>0</v>
      </c>
      <c r="BM174" s="4">
        <f t="shared" si="125"/>
        <v>0</v>
      </c>
      <c r="BN174" s="32">
        <f t="shared" si="126"/>
        <v>0</v>
      </c>
      <c r="BO174" s="4">
        <f t="shared" si="127"/>
        <v>0</v>
      </c>
      <c r="BP174" s="32">
        <f t="shared" si="128"/>
        <v>0</v>
      </c>
      <c r="BQ174" s="32">
        <f t="shared" si="129"/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  <c r="DO174" s="4">
        <v>0</v>
      </c>
      <c r="DP174" s="4">
        <v>0</v>
      </c>
      <c r="DQ174" s="4">
        <v>0</v>
      </c>
    </row>
    <row r="175" spans="1:121" x14ac:dyDescent="0.35">
      <c r="A175" s="84">
        <f>'2017 Prop share of contribs'!A171</f>
        <v>240</v>
      </c>
      <c r="B175" s="84" t="str">
        <f>'2017 Prop share of contribs'!B171</f>
        <v xml:space="preserve">SCIENCE HILL CITY SCHOOLS  </v>
      </c>
      <c r="C175" s="25" t="s">
        <v>285</v>
      </c>
      <c r="D175" s="33">
        <f>ROUND('Employer Allocations'!G214,8)</f>
        <v>0</v>
      </c>
      <c r="E175" s="4">
        <f>ROUND('Employer Allocations'!H214,8)</f>
        <v>5.9139999999999996E-4</v>
      </c>
      <c r="F175" s="4">
        <f>ROUND('Employer Allocations'!I214,8)</f>
        <v>5.9139999999999996E-4</v>
      </c>
      <c r="G175" s="4">
        <v>0</v>
      </c>
      <c r="H175" s="4">
        <v>5.8467000000000002E-4</v>
      </c>
      <c r="I175" s="4">
        <v>5.8467000000000002E-4</v>
      </c>
      <c r="J175" s="7">
        <f t="shared" si="93"/>
        <v>0</v>
      </c>
      <c r="K175" s="7">
        <f t="shared" si="94"/>
        <v>15957595</v>
      </c>
      <c r="L175" s="7">
        <f t="shared" si="102"/>
        <v>15957595</v>
      </c>
      <c r="M175" s="7"/>
      <c r="N175" s="7">
        <f t="shared" si="95"/>
        <v>0</v>
      </c>
      <c r="O175" s="32">
        <f t="shared" si="96"/>
        <v>0</v>
      </c>
      <c r="P175" s="32"/>
      <c r="Q175" s="32">
        <f t="shared" si="97"/>
        <v>1135936</v>
      </c>
      <c r="R175" s="32">
        <f t="shared" si="103"/>
        <v>1135936</v>
      </c>
      <c r="S175" s="32">
        <f t="shared" si="104"/>
        <v>0</v>
      </c>
      <c r="T175" s="32">
        <f t="shared" si="98"/>
        <v>0</v>
      </c>
      <c r="U175" s="32">
        <f t="shared" si="133"/>
        <v>0</v>
      </c>
      <c r="V175" s="32">
        <f t="shared" si="133"/>
        <v>0</v>
      </c>
      <c r="W175" s="32">
        <f t="shared" si="133"/>
        <v>0</v>
      </c>
      <c r="X175" s="32">
        <f t="shared" si="105"/>
        <v>0</v>
      </c>
      <c r="Y175" s="32"/>
      <c r="Z175" s="32">
        <f t="shared" si="133"/>
        <v>0</v>
      </c>
      <c r="AA175" s="32">
        <f t="shared" si="133"/>
        <v>0</v>
      </c>
      <c r="AB175" s="32">
        <f t="shared" si="133"/>
        <v>0</v>
      </c>
      <c r="AC175" s="32">
        <f t="shared" si="106"/>
        <v>0</v>
      </c>
      <c r="AD175" s="32"/>
      <c r="AE175" s="32">
        <f t="shared" si="133"/>
        <v>0</v>
      </c>
      <c r="AF175" s="32">
        <f t="shared" si="133"/>
        <v>0</v>
      </c>
      <c r="AG175" s="32">
        <f t="shared" si="133"/>
        <v>0</v>
      </c>
      <c r="AH175" s="32">
        <f t="shared" si="133"/>
        <v>0</v>
      </c>
      <c r="AI175" s="32">
        <f t="shared" si="133"/>
        <v>0</v>
      </c>
      <c r="AJ175" s="32">
        <f t="shared" si="132"/>
        <v>0</v>
      </c>
      <c r="AK175" s="7">
        <v>0</v>
      </c>
      <c r="AL175" s="32">
        <v>0</v>
      </c>
      <c r="AM175" s="32"/>
      <c r="AN175" s="4">
        <v>0</v>
      </c>
      <c r="AO175" s="32">
        <f t="shared" si="107"/>
        <v>0</v>
      </c>
      <c r="AP175" s="32">
        <f t="shared" si="108"/>
        <v>0</v>
      </c>
      <c r="AS175" s="32">
        <f t="shared" si="109"/>
        <v>0</v>
      </c>
      <c r="AT175" s="32">
        <f t="shared" si="99"/>
        <v>0</v>
      </c>
      <c r="AU175" s="32">
        <f t="shared" si="110"/>
        <v>0</v>
      </c>
      <c r="AV175" s="4">
        <f t="shared" si="111"/>
        <v>0</v>
      </c>
      <c r="AW175" s="32">
        <f t="shared" si="112"/>
        <v>0</v>
      </c>
      <c r="AX175" s="4">
        <f t="shared" si="113"/>
        <v>0</v>
      </c>
      <c r="AY175" s="32">
        <f t="shared" si="114"/>
        <v>0</v>
      </c>
      <c r="AZ175" s="4">
        <f t="shared" si="115"/>
        <v>0</v>
      </c>
      <c r="BA175" s="32">
        <f t="shared" si="116"/>
        <v>0</v>
      </c>
      <c r="BB175" s="32">
        <f t="shared" si="100"/>
        <v>0</v>
      </c>
      <c r="BC175" s="32">
        <f t="shared" si="117"/>
        <v>0</v>
      </c>
      <c r="BD175" s="32">
        <f t="shared" si="118"/>
        <v>0</v>
      </c>
      <c r="BF175" s="32">
        <f t="shared" si="119"/>
        <v>0</v>
      </c>
      <c r="BG175" s="32">
        <f t="shared" si="101"/>
        <v>0</v>
      </c>
      <c r="BH175" s="32">
        <f t="shared" si="120"/>
        <v>0</v>
      </c>
      <c r="BI175" s="4">
        <f t="shared" si="121"/>
        <v>0</v>
      </c>
      <c r="BJ175" s="32">
        <f t="shared" si="122"/>
        <v>0</v>
      </c>
      <c r="BK175" s="4">
        <f t="shared" si="123"/>
        <v>0</v>
      </c>
      <c r="BL175" s="32">
        <f t="shared" si="124"/>
        <v>0</v>
      </c>
      <c r="BM175" s="4">
        <f t="shared" si="125"/>
        <v>0</v>
      </c>
      <c r="BN175" s="32">
        <f t="shared" si="126"/>
        <v>0</v>
      </c>
      <c r="BO175" s="4">
        <f t="shared" si="127"/>
        <v>0</v>
      </c>
      <c r="BP175" s="32">
        <f t="shared" si="128"/>
        <v>0</v>
      </c>
      <c r="BQ175" s="32">
        <f t="shared" si="129"/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  <c r="DO175" s="4">
        <v>0</v>
      </c>
      <c r="DP175" s="4">
        <v>0</v>
      </c>
      <c r="DQ175" s="4">
        <v>0</v>
      </c>
    </row>
    <row r="176" spans="1:121" x14ac:dyDescent="0.35">
      <c r="A176" s="84">
        <f>'2017 Prop share of contribs'!A172</f>
        <v>245</v>
      </c>
      <c r="B176" s="84" t="str">
        <f>'2017 Prop share of contribs'!B172</f>
        <v xml:space="preserve">SILVER GROVE CITY SCHOOLS  </v>
      </c>
      <c r="C176" s="25" t="s">
        <v>286</v>
      </c>
      <c r="D176" s="33">
        <f>ROUND('Employer Allocations'!G215,8)</f>
        <v>0</v>
      </c>
      <c r="E176" s="4">
        <f>ROUND('Employer Allocations'!H215,8)</f>
        <v>3.7120000000000002E-4</v>
      </c>
      <c r="F176" s="4">
        <f>ROUND('Employer Allocations'!I215,8)</f>
        <v>3.7120000000000002E-4</v>
      </c>
      <c r="G176" s="4">
        <v>0</v>
      </c>
      <c r="H176" s="4">
        <v>4.0339E-4</v>
      </c>
      <c r="I176" s="4">
        <v>4.0339E-4</v>
      </c>
      <c r="J176" s="7">
        <f t="shared" si="93"/>
        <v>0</v>
      </c>
      <c r="K176" s="7">
        <f t="shared" si="94"/>
        <v>10015995</v>
      </c>
      <c r="L176" s="7">
        <f t="shared" si="102"/>
        <v>10015995</v>
      </c>
      <c r="M176" s="7"/>
      <c r="N176" s="7">
        <f t="shared" si="95"/>
        <v>0</v>
      </c>
      <c r="O176" s="32">
        <f t="shared" si="96"/>
        <v>0</v>
      </c>
      <c r="P176" s="32"/>
      <c r="Q176" s="32">
        <f t="shared" si="97"/>
        <v>712985</v>
      </c>
      <c r="R176" s="32">
        <f t="shared" si="103"/>
        <v>712985</v>
      </c>
      <c r="S176" s="32">
        <f t="shared" si="104"/>
        <v>0</v>
      </c>
      <c r="T176" s="32">
        <f t="shared" si="98"/>
        <v>0</v>
      </c>
      <c r="U176" s="32">
        <f t="shared" si="133"/>
        <v>0</v>
      </c>
      <c r="V176" s="32">
        <f t="shared" si="133"/>
        <v>0</v>
      </c>
      <c r="W176" s="32">
        <f t="shared" si="133"/>
        <v>0</v>
      </c>
      <c r="X176" s="32">
        <f t="shared" si="105"/>
        <v>0</v>
      </c>
      <c r="Y176" s="32"/>
      <c r="Z176" s="32">
        <f t="shared" si="133"/>
        <v>0</v>
      </c>
      <c r="AA176" s="32">
        <f t="shared" si="133"/>
        <v>0</v>
      </c>
      <c r="AB176" s="32">
        <f t="shared" si="133"/>
        <v>0</v>
      </c>
      <c r="AC176" s="32">
        <f t="shared" si="106"/>
        <v>0</v>
      </c>
      <c r="AD176" s="32"/>
      <c r="AE176" s="32">
        <f t="shared" si="133"/>
        <v>0</v>
      </c>
      <c r="AF176" s="32">
        <f t="shared" si="133"/>
        <v>0</v>
      </c>
      <c r="AG176" s="32">
        <f t="shared" si="133"/>
        <v>0</v>
      </c>
      <c r="AH176" s="32">
        <f t="shared" si="133"/>
        <v>0</v>
      </c>
      <c r="AI176" s="32">
        <f t="shared" si="133"/>
        <v>0</v>
      </c>
      <c r="AJ176" s="32">
        <f t="shared" si="133"/>
        <v>0</v>
      </c>
      <c r="AK176" s="7">
        <v>0</v>
      </c>
      <c r="AL176" s="32">
        <v>0</v>
      </c>
      <c r="AM176" s="32"/>
      <c r="AN176" s="4">
        <v>0</v>
      </c>
      <c r="AO176" s="32">
        <f t="shared" si="107"/>
        <v>0</v>
      </c>
      <c r="AP176" s="32">
        <f t="shared" si="108"/>
        <v>0</v>
      </c>
      <c r="AS176" s="32">
        <f t="shared" si="109"/>
        <v>0</v>
      </c>
      <c r="AT176" s="32">
        <f t="shared" si="99"/>
        <v>0</v>
      </c>
      <c r="AU176" s="32">
        <f t="shared" si="110"/>
        <v>0</v>
      </c>
      <c r="AV176" s="4">
        <f t="shared" si="111"/>
        <v>0</v>
      </c>
      <c r="AW176" s="32">
        <f t="shared" si="112"/>
        <v>0</v>
      </c>
      <c r="AX176" s="4">
        <f t="shared" si="113"/>
        <v>0</v>
      </c>
      <c r="AY176" s="32">
        <f t="shared" si="114"/>
        <v>0</v>
      </c>
      <c r="AZ176" s="4">
        <f t="shared" si="115"/>
        <v>0</v>
      </c>
      <c r="BA176" s="32">
        <f t="shared" si="116"/>
        <v>0</v>
      </c>
      <c r="BB176" s="32">
        <f t="shared" si="100"/>
        <v>0</v>
      </c>
      <c r="BC176" s="32">
        <f t="shared" si="117"/>
        <v>0</v>
      </c>
      <c r="BD176" s="32">
        <f t="shared" si="118"/>
        <v>0</v>
      </c>
      <c r="BF176" s="32">
        <f t="shared" si="119"/>
        <v>0</v>
      </c>
      <c r="BG176" s="32">
        <f t="shared" si="101"/>
        <v>0</v>
      </c>
      <c r="BH176" s="32">
        <f t="shared" si="120"/>
        <v>0</v>
      </c>
      <c r="BI176" s="4">
        <f t="shared" si="121"/>
        <v>0</v>
      </c>
      <c r="BJ176" s="32">
        <f t="shared" si="122"/>
        <v>0</v>
      </c>
      <c r="BK176" s="4">
        <f t="shared" si="123"/>
        <v>0</v>
      </c>
      <c r="BL176" s="32">
        <f t="shared" si="124"/>
        <v>0</v>
      </c>
      <c r="BM176" s="4">
        <f t="shared" si="125"/>
        <v>0</v>
      </c>
      <c r="BN176" s="32">
        <f t="shared" si="126"/>
        <v>0</v>
      </c>
      <c r="BO176" s="4">
        <f t="shared" si="127"/>
        <v>0</v>
      </c>
      <c r="BP176" s="32">
        <f t="shared" si="128"/>
        <v>0</v>
      </c>
      <c r="BQ176" s="32">
        <f t="shared" si="129"/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  <c r="DO176" s="4">
        <v>0</v>
      </c>
      <c r="DP176" s="4">
        <v>0</v>
      </c>
      <c r="DQ176" s="4">
        <v>0</v>
      </c>
    </row>
    <row r="177" spans="1:121" x14ac:dyDescent="0.35">
      <c r="A177" s="84">
        <f>'2017 Prop share of contribs'!A173</f>
        <v>246</v>
      </c>
      <c r="B177" s="84" t="str">
        <f>'2017 Prop share of contribs'!B173</f>
        <v xml:space="preserve">SOMERSET CITY SCHOOLS  </v>
      </c>
      <c r="C177" s="25" t="s">
        <v>287</v>
      </c>
      <c r="D177" s="33">
        <f>ROUND('Employer Allocations'!G216,8)</f>
        <v>0</v>
      </c>
      <c r="E177" s="4">
        <f>ROUND('Employer Allocations'!H216,8)</f>
        <v>2.2803200000000002E-3</v>
      </c>
      <c r="F177" s="4">
        <f>ROUND('Employer Allocations'!I216,8)</f>
        <v>2.2803200000000002E-3</v>
      </c>
      <c r="G177" s="4">
        <v>0</v>
      </c>
      <c r="H177" s="4">
        <v>2.26231E-3</v>
      </c>
      <c r="I177" s="4">
        <v>2.26231E-3</v>
      </c>
      <c r="J177" s="7">
        <f t="shared" si="93"/>
        <v>0</v>
      </c>
      <c r="K177" s="7">
        <f t="shared" si="94"/>
        <v>61529291</v>
      </c>
      <c r="L177" s="7">
        <f t="shared" si="102"/>
        <v>61529291</v>
      </c>
      <c r="M177" s="7"/>
      <c r="N177" s="7">
        <f t="shared" si="95"/>
        <v>0</v>
      </c>
      <c r="O177" s="32">
        <f t="shared" si="96"/>
        <v>0</v>
      </c>
      <c r="P177" s="32"/>
      <c r="Q177" s="32">
        <f t="shared" si="97"/>
        <v>4379942</v>
      </c>
      <c r="R177" s="32">
        <f t="shared" si="103"/>
        <v>4379942</v>
      </c>
      <c r="S177" s="32">
        <f t="shared" si="104"/>
        <v>0</v>
      </c>
      <c r="T177" s="32">
        <f t="shared" si="98"/>
        <v>0</v>
      </c>
      <c r="U177" s="32">
        <f t="shared" si="133"/>
        <v>0</v>
      </c>
      <c r="V177" s="32">
        <f t="shared" si="133"/>
        <v>0</v>
      </c>
      <c r="W177" s="32">
        <f t="shared" si="133"/>
        <v>0</v>
      </c>
      <c r="X177" s="32">
        <f t="shared" si="105"/>
        <v>0</v>
      </c>
      <c r="Y177" s="32"/>
      <c r="Z177" s="32">
        <f t="shared" si="133"/>
        <v>0</v>
      </c>
      <c r="AA177" s="32">
        <f t="shared" si="133"/>
        <v>0</v>
      </c>
      <c r="AB177" s="32">
        <f t="shared" si="133"/>
        <v>0</v>
      </c>
      <c r="AC177" s="32">
        <f t="shared" si="106"/>
        <v>0</v>
      </c>
      <c r="AD177" s="32"/>
      <c r="AE177" s="32">
        <f t="shared" si="133"/>
        <v>0</v>
      </c>
      <c r="AF177" s="32">
        <f t="shared" si="133"/>
        <v>0</v>
      </c>
      <c r="AG177" s="32">
        <f t="shared" si="133"/>
        <v>0</v>
      </c>
      <c r="AH177" s="32">
        <f t="shared" si="133"/>
        <v>0</v>
      </c>
      <c r="AI177" s="32">
        <f t="shared" si="133"/>
        <v>0</v>
      </c>
      <c r="AJ177" s="32">
        <f t="shared" si="133"/>
        <v>0</v>
      </c>
      <c r="AK177" s="7">
        <v>0</v>
      </c>
      <c r="AL177" s="32">
        <v>0</v>
      </c>
      <c r="AM177" s="32"/>
      <c r="AN177" s="4">
        <v>0</v>
      </c>
      <c r="AO177" s="32">
        <f t="shared" si="107"/>
        <v>0</v>
      </c>
      <c r="AP177" s="32">
        <f t="shared" si="108"/>
        <v>0</v>
      </c>
      <c r="AS177" s="32">
        <f t="shared" si="109"/>
        <v>0</v>
      </c>
      <c r="AT177" s="32">
        <f t="shared" si="99"/>
        <v>0</v>
      </c>
      <c r="AU177" s="32">
        <f t="shared" si="110"/>
        <v>0</v>
      </c>
      <c r="AV177" s="4">
        <f t="shared" si="111"/>
        <v>0</v>
      </c>
      <c r="AW177" s="32">
        <f t="shared" si="112"/>
        <v>0</v>
      </c>
      <c r="AX177" s="4">
        <f t="shared" si="113"/>
        <v>0</v>
      </c>
      <c r="AY177" s="32">
        <f t="shared" si="114"/>
        <v>0</v>
      </c>
      <c r="AZ177" s="4">
        <f t="shared" si="115"/>
        <v>0</v>
      </c>
      <c r="BA177" s="32">
        <f t="shared" si="116"/>
        <v>0</v>
      </c>
      <c r="BB177" s="32">
        <f t="shared" si="100"/>
        <v>0</v>
      </c>
      <c r="BC177" s="32">
        <f t="shared" si="117"/>
        <v>0</v>
      </c>
      <c r="BD177" s="32">
        <f t="shared" si="118"/>
        <v>0</v>
      </c>
      <c r="BF177" s="32">
        <f t="shared" si="119"/>
        <v>0</v>
      </c>
      <c r="BG177" s="32">
        <f t="shared" si="101"/>
        <v>0</v>
      </c>
      <c r="BH177" s="32">
        <f t="shared" si="120"/>
        <v>0</v>
      </c>
      <c r="BI177" s="4">
        <f t="shared" si="121"/>
        <v>0</v>
      </c>
      <c r="BJ177" s="32">
        <f t="shared" si="122"/>
        <v>0</v>
      </c>
      <c r="BK177" s="4">
        <f t="shared" si="123"/>
        <v>0</v>
      </c>
      <c r="BL177" s="32">
        <f t="shared" si="124"/>
        <v>0</v>
      </c>
      <c r="BM177" s="4">
        <f t="shared" si="125"/>
        <v>0</v>
      </c>
      <c r="BN177" s="32">
        <f t="shared" si="126"/>
        <v>0</v>
      </c>
      <c r="BO177" s="4">
        <f t="shared" si="127"/>
        <v>0</v>
      </c>
      <c r="BP177" s="32">
        <f t="shared" si="128"/>
        <v>0</v>
      </c>
      <c r="BQ177" s="32">
        <f t="shared" si="129"/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  <c r="DO177" s="4">
        <v>0</v>
      </c>
      <c r="DP177" s="4">
        <v>0</v>
      </c>
      <c r="DQ177" s="4">
        <v>0</v>
      </c>
    </row>
    <row r="178" spans="1:121" x14ac:dyDescent="0.35">
      <c r="A178" s="84">
        <f>'2017 Prop share of contribs'!A174</f>
        <v>247</v>
      </c>
      <c r="B178" s="84" t="str">
        <f>'2017 Prop share of contribs'!B174</f>
        <v xml:space="preserve">SOUTHGATE CITY SCHOOLS  </v>
      </c>
      <c r="C178" s="25" t="s">
        <v>288</v>
      </c>
      <c r="D178" s="33">
        <f>ROUND('Employer Allocations'!G217,8)</f>
        <v>0</v>
      </c>
      <c r="E178" s="4">
        <f>ROUND('Employer Allocations'!H217,8)</f>
        <v>3.2469999999999998E-4</v>
      </c>
      <c r="F178" s="4">
        <f>ROUND('Employer Allocations'!I217,8)</f>
        <v>3.2469999999999998E-4</v>
      </c>
      <c r="G178" s="4">
        <v>0</v>
      </c>
      <c r="H178" s="4">
        <v>3.1324E-4</v>
      </c>
      <c r="I178" s="4">
        <v>3.1324E-4</v>
      </c>
      <c r="J178" s="7">
        <f t="shared" si="93"/>
        <v>0</v>
      </c>
      <c r="K178" s="7">
        <f t="shared" si="94"/>
        <v>8761297</v>
      </c>
      <c r="L178" s="7">
        <f t="shared" si="102"/>
        <v>8761297</v>
      </c>
      <c r="M178" s="7"/>
      <c r="N178" s="7">
        <f t="shared" si="95"/>
        <v>0</v>
      </c>
      <c r="O178" s="32">
        <f t="shared" si="96"/>
        <v>0</v>
      </c>
      <c r="P178" s="32"/>
      <c r="Q178" s="32">
        <f t="shared" si="97"/>
        <v>623670</v>
      </c>
      <c r="R178" s="32">
        <f t="shared" si="103"/>
        <v>623670</v>
      </c>
      <c r="S178" s="32">
        <f t="shared" si="104"/>
        <v>0</v>
      </c>
      <c r="T178" s="32">
        <f t="shared" si="98"/>
        <v>0</v>
      </c>
      <c r="U178" s="32">
        <f t="shared" si="133"/>
        <v>0</v>
      </c>
      <c r="V178" s="32">
        <f t="shared" si="133"/>
        <v>0</v>
      </c>
      <c r="W178" s="32">
        <f t="shared" si="133"/>
        <v>0</v>
      </c>
      <c r="X178" s="32">
        <f t="shared" si="105"/>
        <v>0</v>
      </c>
      <c r="Y178" s="32"/>
      <c r="Z178" s="32">
        <f t="shared" si="133"/>
        <v>0</v>
      </c>
      <c r="AA178" s="32">
        <f t="shared" si="133"/>
        <v>0</v>
      </c>
      <c r="AB178" s="32">
        <f t="shared" si="133"/>
        <v>0</v>
      </c>
      <c r="AC178" s="32">
        <f t="shared" si="106"/>
        <v>0</v>
      </c>
      <c r="AD178" s="32"/>
      <c r="AE178" s="32">
        <f t="shared" si="133"/>
        <v>0</v>
      </c>
      <c r="AF178" s="32">
        <f t="shared" si="133"/>
        <v>0</v>
      </c>
      <c r="AG178" s="32">
        <f t="shared" si="133"/>
        <v>0</v>
      </c>
      <c r="AH178" s="32">
        <f t="shared" si="133"/>
        <v>0</v>
      </c>
      <c r="AI178" s="32">
        <f t="shared" si="133"/>
        <v>0</v>
      </c>
      <c r="AJ178" s="32">
        <f t="shared" si="133"/>
        <v>0</v>
      </c>
      <c r="AK178" s="7">
        <v>0</v>
      </c>
      <c r="AL178" s="32">
        <v>0</v>
      </c>
      <c r="AM178" s="32"/>
      <c r="AN178" s="4">
        <v>0</v>
      </c>
      <c r="AO178" s="32">
        <f t="shared" si="107"/>
        <v>0</v>
      </c>
      <c r="AP178" s="32">
        <f t="shared" si="108"/>
        <v>0</v>
      </c>
      <c r="AS178" s="32">
        <f t="shared" si="109"/>
        <v>0</v>
      </c>
      <c r="AT178" s="32">
        <f t="shared" si="99"/>
        <v>0</v>
      </c>
      <c r="AU178" s="32">
        <f t="shared" si="110"/>
        <v>0</v>
      </c>
      <c r="AV178" s="4">
        <f t="shared" si="111"/>
        <v>0</v>
      </c>
      <c r="AW178" s="32">
        <f t="shared" si="112"/>
        <v>0</v>
      </c>
      <c r="AX178" s="4">
        <f t="shared" si="113"/>
        <v>0</v>
      </c>
      <c r="AY178" s="32">
        <f t="shared" si="114"/>
        <v>0</v>
      </c>
      <c r="AZ178" s="4">
        <f t="shared" si="115"/>
        <v>0</v>
      </c>
      <c r="BA178" s="32">
        <f t="shared" si="116"/>
        <v>0</v>
      </c>
      <c r="BB178" s="32">
        <f t="shared" si="100"/>
        <v>0</v>
      </c>
      <c r="BC178" s="32">
        <f t="shared" si="117"/>
        <v>0</v>
      </c>
      <c r="BD178" s="32">
        <f t="shared" si="118"/>
        <v>0</v>
      </c>
      <c r="BF178" s="32">
        <f t="shared" si="119"/>
        <v>0</v>
      </c>
      <c r="BG178" s="32">
        <f t="shared" si="101"/>
        <v>0</v>
      </c>
      <c r="BH178" s="32">
        <f t="shared" si="120"/>
        <v>0</v>
      </c>
      <c r="BI178" s="4">
        <f t="shared" si="121"/>
        <v>0</v>
      </c>
      <c r="BJ178" s="32">
        <f t="shared" si="122"/>
        <v>0</v>
      </c>
      <c r="BK178" s="4">
        <f t="shared" si="123"/>
        <v>0</v>
      </c>
      <c r="BL178" s="32">
        <f t="shared" si="124"/>
        <v>0</v>
      </c>
      <c r="BM178" s="4">
        <f t="shared" si="125"/>
        <v>0</v>
      </c>
      <c r="BN178" s="32">
        <f t="shared" si="126"/>
        <v>0</v>
      </c>
      <c r="BO178" s="4">
        <f t="shared" si="127"/>
        <v>0</v>
      </c>
      <c r="BP178" s="32">
        <f t="shared" si="128"/>
        <v>0</v>
      </c>
      <c r="BQ178" s="32">
        <f t="shared" si="129"/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  <c r="DO178" s="4">
        <v>0</v>
      </c>
      <c r="DP178" s="4">
        <v>0</v>
      </c>
      <c r="DQ178" s="4">
        <v>0</v>
      </c>
    </row>
    <row r="179" spans="1:121" x14ac:dyDescent="0.35">
      <c r="A179" s="84">
        <f>'2017 Prop share of contribs'!A175</f>
        <v>258</v>
      </c>
      <c r="B179" s="84" t="str">
        <f>'2017 Prop share of contribs'!B175</f>
        <v xml:space="preserve">WALTON-VERONA INDEPENDENT SCHOOLS  </v>
      </c>
      <c r="C179" s="25" t="s">
        <v>302</v>
      </c>
      <c r="D179" s="33">
        <f>ROUND('Employer Allocations'!G218,8)</f>
        <v>0</v>
      </c>
      <c r="E179" s="4">
        <f>ROUND('Employer Allocations'!H218,8)</f>
        <v>2.5168999999999999E-3</v>
      </c>
      <c r="F179" s="4">
        <f>ROUND('Employer Allocations'!I218,8)</f>
        <v>2.5168999999999999E-3</v>
      </c>
      <c r="G179" s="4">
        <v>0</v>
      </c>
      <c r="H179" s="4">
        <v>2.4557799999999999E-3</v>
      </c>
      <c r="I179" s="4">
        <v>2.4557799999999999E-3</v>
      </c>
      <c r="J179" s="7">
        <f t="shared" si="93"/>
        <v>0</v>
      </c>
      <c r="K179" s="7">
        <f t="shared" si="94"/>
        <v>67912869</v>
      </c>
      <c r="L179" s="7">
        <f t="shared" si="102"/>
        <v>67912869</v>
      </c>
      <c r="M179" s="7"/>
      <c r="N179" s="7">
        <f t="shared" si="95"/>
        <v>0</v>
      </c>
      <c r="O179" s="32">
        <f t="shared" si="96"/>
        <v>0</v>
      </c>
      <c r="P179" s="32"/>
      <c r="Q179" s="32">
        <f t="shared" si="97"/>
        <v>4834355</v>
      </c>
      <c r="R179" s="32">
        <f t="shared" si="103"/>
        <v>4834355</v>
      </c>
      <c r="S179" s="32">
        <f t="shared" si="104"/>
        <v>0</v>
      </c>
      <c r="T179" s="32">
        <f t="shared" si="98"/>
        <v>0</v>
      </c>
      <c r="U179" s="32">
        <f t="shared" si="133"/>
        <v>0</v>
      </c>
      <c r="V179" s="32">
        <f t="shared" si="133"/>
        <v>0</v>
      </c>
      <c r="W179" s="32">
        <f t="shared" si="133"/>
        <v>0</v>
      </c>
      <c r="X179" s="32">
        <f t="shared" si="105"/>
        <v>0</v>
      </c>
      <c r="Y179" s="32"/>
      <c r="Z179" s="32">
        <f t="shared" si="133"/>
        <v>0</v>
      </c>
      <c r="AA179" s="32">
        <f t="shared" si="133"/>
        <v>0</v>
      </c>
      <c r="AB179" s="32">
        <f t="shared" si="133"/>
        <v>0</v>
      </c>
      <c r="AC179" s="32">
        <f t="shared" si="106"/>
        <v>0</v>
      </c>
      <c r="AD179" s="32"/>
      <c r="AE179" s="32">
        <f t="shared" si="133"/>
        <v>0</v>
      </c>
      <c r="AF179" s="32">
        <f t="shared" si="133"/>
        <v>0</v>
      </c>
      <c r="AG179" s="32">
        <f t="shared" si="133"/>
        <v>0</v>
      </c>
      <c r="AH179" s="32">
        <f t="shared" si="133"/>
        <v>0</v>
      </c>
      <c r="AI179" s="32">
        <f t="shared" si="133"/>
        <v>0</v>
      </c>
      <c r="AJ179" s="32">
        <f t="shared" si="133"/>
        <v>0</v>
      </c>
      <c r="AK179" s="7">
        <v>0</v>
      </c>
      <c r="AL179" s="32">
        <v>0</v>
      </c>
      <c r="AM179" s="32"/>
      <c r="AN179" s="4">
        <v>0</v>
      </c>
      <c r="AO179" s="32">
        <f t="shared" si="107"/>
        <v>0</v>
      </c>
      <c r="AP179" s="32">
        <f t="shared" si="108"/>
        <v>0</v>
      </c>
      <c r="AS179" s="32">
        <f t="shared" si="109"/>
        <v>0</v>
      </c>
      <c r="AT179" s="32">
        <f t="shared" si="99"/>
        <v>0</v>
      </c>
      <c r="AU179" s="32">
        <f t="shared" si="110"/>
        <v>0</v>
      </c>
      <c r="AV179" s="4">
        <f t="shared" si="111"/>
        <v>0</v>
      </c>
      <c r="AW179" s="32">
        <f t="shared" si="112"/>
        <v>0</v>
      </c>
      <c r="AX179" s="4">
        <f t="shared" si="113"/>
        <v>0</v>
      </c>
      <c r="AY179" s="32">
        <f t="shared" si="114"/>
        <v>0</v>
      </c>
      <c r="AZ179" s="4">
        <f t="shared" si="115"/>
        <v>0</v>
      </c>
      <c r="BA179" s="32">
        <f t="shared" si="116"/>
        <v>0</v>
      </c>
      <c r="BB179" s="32">
        <f t="shared" si="100"/>
        <v>0</v>
      </c>
      <c r="BC179" s="32">
        <f t="shared" si="117"/>
        <v>0</v>
      </c>
      <c r="BD179" s="32">
        <f t="shared" si="118"/>
        <v>0</v>
      </c>
      <c r="BF179" s="32">
        <f t="shared" si="119"/>
        <v>0</v>
      </c>
      <c r="BG179" s="32">
        <f t="shared" si="101"/>
        <v>0</v>
      </c>
      <c r="BH179" s="32">
        <f t="shared" si="120"/>
        <v>0</v>
      </c>
      <c r="BI179" s="4">
        <f t="shared" si="121"/>
        <v>0</v>
      </c>
      <c r="BJ179" s="32">
        <f t="shared" si="122"/>
        <v>0</v>
      </c>
      <c r="BK179" s="4">
        <f t="shared" si="123"/>
        <v>0</v>
      </c>
      <c r="BL179" s="32">
        <f t="shared" si="124"/>
        <v>0</v>
      </c>
      <c r="BM179" s="4">
        <f t="shared" si="125"/>
        <v>0</v>
      </c>
      <c r="BN179" s="32">
        <f t="shared" si="126"/>
        <v>0</v>
      </c>
      <c r="BO179" s="4">
        <f t="shared" si="127"/>
        <v>0</v>
      </c>
      <c r="BP179" s="32">
        <f t="shared" si="128"/>
        <v>0</v>
      </c>
      <c r="BQ179" s="32">
        <f t="shared" si="129"/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  <c r="DO179" s="4">
        <v>0</v>
      </c>
      <c r="DP179" s="4">
        <v>0</v>
      </c>
      <c r="DQ179" s="4">
        <v>0</v>
      </c>
    </row>
    <row r="180" spans="1:121" x14ac:dyDescent="0.35">
      <c r="A180" s="84">
        <f>'2017 Prop share of contribs'!A176</f>
        <v>259</v>
      </c>
      <c r="B180" s="84" t="str">
        <f>'2017 Prop share of contribs'!B176</f>
        <v xml:space="preserve">WEST POINT CITY SCHOOLS  </v>
      </c>
      <c r="C180" s="25" t="s">
        <v>289</v>
      </c>
      <c r="D180" s="33">
        <f>ROUND('Employer Allocations'!G219,8)</f>
        <v>0</v>
      </c>
      <c r="E180" s="4">
        <f>ROUND('Employer Allocations'!H219,8)</f>
        <v>2.2457999999999999E-4</v>
      </c>
      <c r="F180" s="4">
        <f>ROUND('Employer Allocations'!I219,8)</f>
        <v>2.2457999999999999E-4</v>
      </c>
      <c r="G180" s="4">
        <v>0</v>
      </c>
      <c r="H180" s="4">
        <v>2.1751999999999999E-4</v>
      </c>
      <c r="I180" s="4">
        <v>2.1751999999999999E-4</v>
      </c>
      <c r="J180" s="7">
        <f t="shared" si="93"/>
        <v>0</v>
      </c>
      <c r="K180" s="7">
        <f t="shared" si="94"/>
        <v>6059785</v>
      </c>
      <c r="L180" s="7">
        <f t="shared" si="102"/>
        <v>6059785</v>
      </c>
      <c r="M180" s="7"/>
      <c r="N180" s="7">
        <f t="shared" si="95"/>
        <v>0</v>
      </c>
      <c r="O180" s="32">
        <f t="shared" si="96"/>
        <v>0</v>
      </c>
      <c r="P180" s="32"/>
      <c r="Q180" s="32">
        <f t="shared" si="97"/>
        <v>431364</v>
      </c>
      <c r="R180" s="32">
        <f t="shared" si="103"/>
        <v>431364</v>
      </c>
      <c r="S180" s="32">
        <f t="shared" si="104"/>
        <v>0</v>
      </c>
      <c r="T180" s="32">
        <f t="shared" si="98"/>
        <v>0</v>
      </c>
      <c r="U180" s="32">
        <f t="shared" ref="U180:AI189" si="134">ROUND(U$2*$D180,0)</f>
        <v>0</v>
      </c>
      <c r="V180" s="32">
        <f t="shared" si="134"/>
        <v>0</v>
      </c>
      <c r="W180" s="32">
        <f t="shared" si="134"/>
        <v>0</v>
      </c>
      <c r="X180" s="32">
        <f t="shared" si="105"/>
        <v>0</v>
      </c>
      <c r="Y180" s="32"/>
      <c r="Z180" s="32">
        <f t="shared" si="134"/>
        <v>0</v>
      </c>
      <c r="AA180" s="32">
        <f t="shared" si="134"/>
        <v>0</v>
      </c>
      <c r="AB180" s="32">
        <f t="shared" si="134"/>
        <v>0</v>
      </c>
      <c r="AC180" s="32">
        <f t="shared" si="106"/>
        <v>0</v>
      </c>
      <c r="AD180" s="32"/>
      <c r="AE180" s="32">
        <f t="shared" si="134"/>
        <v>0</v>
      </c>
      <c r="AF180" s="32">
        <f t="shared" si="134"/>
        <v>0</v>
      </c>
      <c r="AG180" s="32">
        <f t="shared" si="134"/>
        <v>0</v>
      </c>
      <c r="AH180" s="32">
        <f t="shared" si="134"/>
        <v>0</v>
      </c>
      <c r="AI180" s="32">
        <f t="shared" si="134"/>
        <v>0</v>
      </c>
      <c r="AJ180" s="32">
        <f t="shared" si="133"/>
        <v>0</v>
      </c>
      <c r="AK180" s="7">
        <v>0</v>
      </c>
      <c r="AL180" s="32">
        <v>0</v>
      </c>
      <c r="AM180" s="32"/>
      <c r="AN180" s="4">
        <v>0</v>
      </c>
      <c r="AO180" s="32">
        <f t="shared" si="107"/>
        <v>0</v>
      </c>
      <c r="AP180" s="32">
        <f t="shared" si="108"/>
        <v>0</v>
      </c>
      <c r="AS180" s="32">
        <f t="shared" si="109"/>
        <v>0</v>
      </c>
      <c r="AT180" s="32">
        <f t="shared" si="99"/>
        <v>0</v>
      </c>
      <c r="AU180" s="32">
        <f t="shared" si="110"/>
        <v>0</v>
      </c>
      <c r="AV180" s="4">
        <f t="shared" si="111"/>
        <v>0</v>
      </c>
      <c r="AW180" s="32">
        <f t="shared" si="112"/>
        <v>0</v>
      </c>
      <c r="AX180" s="4">
        <f t="shared" si="113"/>
        <v>0</v>
      </c>
      <c r="AY180" s="32">
        <f t="shared" si="114"/>
        <v>0</v>
      </c>
      <c r="AZ180" s="4">
        <f t="shared" si="115"/>
        <v>0</v>
      </c>
      <c r="BA180" s="32">
        <f t="shared" si="116"/>
        <v>0</v>
      </c>
      <c r="BB180" s="32">
        <f t="shared" si="100"/>
        <v>0</v>
      </c>
      <c r="BC180" s="32">
        <f t="shared" si="117"/>
        <v>0</v>
      </c>
      <c r="BD180" s="32">
        <f t="shared" si="118"/>
        <v>0</v>
      </c>
      <c r="BF180" s="32">
        <f t="shared" si="119"/>
        <v>0</v>
      </c>
      <c r="BG180" s="32">
        <f t="shared" si="101"/>
        <v>0</v>
      </c>
      <c r="BH180" s="32">
        <f t="shared" si="120"/>
        <v>0</v>
      </c>
      <c r="BI180" s="4">
        <f t="shared" si="121"/>
        <v>0</v>
      </c>
      <c r="BJ180" s="32">
        <f t="shared" si="122"/>
        <v>0</v>
      </c>
      <c r="BK180" s="4">
        <f t="shared" si="123"/>
        <v>0</v>
      </c>
      <c r="BL180" s="32">
        <f t="shared" si="124"/>
        <v>0</v>
      </c>
      <c r="BM180" s="4">
        <f t="shared" si="125"/>
        <v>0</v>
      </c>
      <c r="BN180" s="32">
        <f t="shared" si="126"/>
        <v>0</v>
      </c>
      <c r="BO180" s="4">
        <f t="shared" si="127"/>
        <v>0</v>
      </c>
      <c r="BP180" s="32">
        <f t="shared" si="128"/>
        <v>0</v>
      </c>
      <c r="BQ180" s="32">
        <f t="shared" si="129"/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  <c r="DO180" s="4">
        <v>0</v>
      </c>
      <c r="DP180" s="4">
        <v>0</v>
      </c>
      <c r="DQ180" s="4">
        <v>0</v>
      </c>
    </row>
    <row r="181" spans="1:121" x14ac:dyDescent="0.35">
      <c r="A181" s="84">
        <f>'2017 Prop share of contribs'!A177</f>
        <v>260</v>
      </c>
      <c r="B181" s="84" t="str">
        <f>'2017 Prop share of contribs'!B177</f>
        <v xml:space="preserve">WILLIAMSBURG CITY SCHOOLS  </v>
      </c>
      <c r="C181" s="25" t="s">
        <v>290</v>
      </c>
      <c r="D181" s="33">
        <f>ROUND('Employer Allocations'!G220,8)</f>
        <v>0</v>
      </c>
      <c r="E181" s="4">
        <f>ROUND('Employer Allocations'!H220,8)</f>
        <v>1.06708E-3</v>
      </c>
      <c r="F181" s="4">
        <f>ROUND('Employer Allocations'!I220,8)</f>
        <v>1.06708E-3</v>
      </c>
      <c r="G181" s="4">
        <v>0</v>
      </c>
      <c r="H181" s="4">
        <v>1.06573E-3</v>
      </c>
      <c r="I181" s="4">
        <v>1.06573E-3</v>
      </c>
      <c r="J181" s="7">
        <f t="shared" si="93"/>
        <v>0</v>
      </c>
      <c r="K181" s="7">
        <f t="shared" si="94"/>
        <v>28792747</v>
      </c>
      <c r="L181" s="7">
        <f t="shared" si="102"/>
        <v>28792747</v>
      </c>
      <c r="M181" s="7"/>
      <c r="N181" s="7">
        <f t="shared" si="95"/>
        <v>0</v>
      </c>
      <c r="O181" s="32">
        <f t="shared" si="96"/>
        <v>0</v>
      </c>
      <c r="P181" s="32"/>
      <c r="Q181" s="32">
        <f t="shared" si="97"/>
        <v>2049602</v>
      </c>
      <c r="R181" s="32">
        <f t="shared" si="103"/>
        <v>2049602</v>
      </c>
      <c r="S181" s="32">
        <f t="shared" si="104"/>
        <v>0</v>
      </c>
      <c r="T181" s="32">
        <f t="shared" si="98"/>
        <v>0</v>
      </c>
      <c r="U181" s="32">
        <f t="shared" si="134"/>
        <v>0</v>
      </c>
      <c r="V181" s="32">
        <f t="shared" si="134"/>
        <v>0</v>
      </c>
      <c r="W181" s="32">
        <f t="shared" si="134"/>
        <v>0</v>
      </c>
      <c r="X181" s="32">
        <f t="shared" si="105"/>
        <v>0</v>
      </c>
      <c r="Y181" s="32"/>
      <c r="Z181" s="32">
        <f t="shared" si="134"/>
        <v>0</v>
      </c>
      <c r="AA181" s="32">
        <f t="shared" si="134"/>
        <v>0</v>
      </c>
      <c r="AB181" s="32">
        <f t="shared" si="134"/>
        <v>0</v>
      </c>
      <c r="AC181" s="32">
        <f t="shared" si="106"/>
        <v>0</v>
      </c>
      <c r="AD181" s="32"/>
      <c r="AE181" s="32">
        <f t="shared" si="134"/>
        <v>0</v>
      </c>
      <c r="AF181" s="32">
        <f t="shared" si="134"/>
        <v>0</v>
      </c>
      <c r="AG181" s="32">
        <f t="shared" si="134"/>
        <v>0</v>
      </c>
      <c r="AH181" s="32">
        <f t="shared" si="134"/>
        <v>0</v>
      </c>
      <c r="AI181" s="32">
        <f t="shared" si="134"/>
        <v>0</v>
      </c>
      <c r="AJ181" s="32">
        <f t="shared" si="133"/>
        <v>0</v>
      </c>
      <c r="AK181" s="7">
        <v>0</v>
      </c>
      <c r="AL181" s="32">
        <v>0</v>
      </c>
      <c r="AM181" s="32"/>
      <c r="AN181" s="4">
        <v>0</v>
      </c>
      <c r="AO181" s="32">
        <f t="shared" si="107"/>
        <v>0</v>
      </c>
      <c r="AP181" s="32">
        <f t="shared" si="108"/>
        <v>0</v>
      </c>
      <c r="AS181" s="32">
        <f t="shared" si="109"/>
        <v>0</v>
      </c>
      <c r="AT181" s="32">
        <f t="shared" si="99"/>
        <v>0</v>
      </c>
      <c r="AU181" s="32">
        <f t="shared" si="110"/>
        <v>0</v>
      </c>
      <c r="AV181" s="4">
        <f t="shared" si="111"/>
        <v>0</v>
      </c>
      <c r="AW181" s="32">
        <f t="shared" si="112"/>
        <v>0</v>
      </c>
      <c r="AX181" s="4">
        <f t="shared" si="113"/>
        <v>0</v>
      </c>
      <c r="AY181" s="32">
        <f t="shared" si="114"/>
        <v>0</v>
      </c>
      <c r="AZ181" s="4">
        <f t="shared" si="115"/>
        <v>0</v>
      </c>
      <c r="BA181" s="32">
        <f t="shared" si="116"/>
        <v>0</v>
      </c>
      <c r="BB181" s="32">
        <f t="shared" si="100"/>
        <v>0</v>
      </c>
      <c r="BC181" s="32">
        <f t="shared" si="117"/>
        <v>0</v>
      </c>
      <c r="BD181" s="32">
        <f t="shared" si="118"/>
        <v>0</v>
      </c>
      <c r="BF181" s="32">
        <f t="shared" si="119"/>
        <v>0</v>
      </c>
      <c r="BG181" s="32">
        <f t="shared" si="101"/>
        <v>0</v>
      </c>
      <c r="BH181" s="32">
        <f t="shared" si="120"/>
        <v>0</v>
      </c>
      <c r="BI181" s="4">
        <f t="shared" si="121"/>
        <v>0</v>
      </c>
      <c r="BJ181" s="32">
        <f t="shared" si="122"/>
        <v>0</v>
      </c>
      <c r="BK181" s="4">
        <f t="shared" si="123"/>
        <v>0</v>
      </c>
      <c r="BL181" s="32">
        <f t="shared" si="124"/>
        <v>0</v>
      </c>
      <c r="BM181" s="4">
        <f t="shared" si="125"/>
        <v>0</v>
      </c>
      <c r="BN181" s="32">
        <f t="shared" si="126"/>
        <v>0</v>
      </c>
      <c r="BO181" s="4">
        <f t="shared" si="127"/>
        <v>0</v>
      </c>
      <c r="BP181" s="32">
        <f t="shared" si="128"/>
        <v>0</v>
      </c>
      <c r="BQ181" s="32">
        <f t="shared" si="129"/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  <c r="DO181" s="4">
        <v>0</v>
      </c>
      <c r="DP181" s="4">
        <v>0</v>
      </c>
      <c r="DQ181" s="4">
        <v>0</v>
      </c>
    </row>
    <row r="182" spans="1:121" x14ac:dyDescent="0.35">
      <c r="A182" s="84">
        <f>'2017 Prop share of contribs'!A178</f>
        <v>261</v>
      </c>
      <c r="B182" s="84" t="str">
        <f>'2017 Prop share of contribs'!B178</f>
        <v xml:space="preserve">WILLIAMSTOWN CITY SCHOOLS  </v>
      </c>
      <c r="C182" s="25" t="s">
        <v>291</v>
      </c>
      <c r="D182" s="33">
        <f>ROUND('Employer Allocations'!G221,8)</f>
        <v>0</v>
      </c>
      <c r="E182" s="4">
        <f>ROUND('Employer Allocations'!H221,8)</f>
        <v>1.0362399999999999E-3</v>
      </c>
      <c r="F182" s="4">
        <f>ROUND('Employer Allocations'!I221,8)</f>
        <v>1.0362399999999999E-3</v>
      </c>
      <c r="G182" s="4">
        <v>0</v>
      </c>
      <c r="H182" s="4">
        <v>1.08186E-3</v>
      </c>
      <c r="I182" s="4">
        <v>1.08186E-3</v>
      </c>
      <c r="J182" s="7">
        <f t="shared" si="93"/>
        <v>0</v>
      </c>
      <c r="K182" s="7">
        <f t="shared" si="94"/>
        <v>27960599</v>
      </c>
      <c r="L182" s="7">
        <f t="shared" si="102"/>
        <v>27960599</v>
      </c>
      <c r="M182" s="7"/>
      <c r="N182" s="7">
        <f t="shared" si="95"/>
        <v>0</v>
      </c>
      <c r="O182" s="32">
        <f t="shared" si="96"/>
        <v>0</v>
      </c>
      <c r="P182" s="32"/>
      <c r="Q182" s="32">
        <f t="shared" si="97"/>
        <v>1990366</v>
      </c>
      <c r="R182" s="32">
        <f t="shared" si="103"/>
        <v>1990366</v>
      </c>
      <c r="S182" s="32">
        <f t="shared" si="104"/>
        <v>0</v>
      </c>
      <c r="T182" s="32">
        <f t="shared" si="98"/>
        <v>0</v>
      </c>
      <c r="U182" s="32">
        <f t="shared" si="134"/>
        <v>0</v>
      </c>
      <c r="V182" s="32">
        <f t="shared" si="134"/>
        <v>0</v>
      </c>
      <c r="W182" s="32">
        <f t="shared" si="134"/>
        <v>0</v>
      </c>
      <c r="X182" s="32">
        <f t="shared" si="105"/>
        <v>0</v>
      </c>
      <c r="Y182" s="32"/>
      <c r="Z182" s="32">
        <f t="shared" si="134"/>
        <v>0</v>
      </c>
      <c r="AA182" s="32">
        <f t="shared" si="134"/>
        <v>0</v>
      </c>
      <c r="AB182" s="32">
        <f t="shared" si="134"/>
        <v>0</v>
      </c>
      <c r="AC182" s="32">
        <f t="shared" si="106"/>
        <v>0</v>
      </c>
      <c r="AD182" s="32"/>
      <c r="AE182" s="32">
        <f t="shared" si="134"/>
        <v>0</v>
      </c>
      <c r="AF182" s="32">
        <f t="shared" si="134"/>
        <v>0</v>
      </c>
      <c r="AG182" s="32">
        <f t="shared" si="134"/>
        <v>0</v>
      </c>
      <c r="AH182" s="32">
        <f t="shared" si="134"/>
        <v>0</v>
      </c>
      <c r="AI182" s="32">
        <f t="shared" si="134"/>
        <v>0</v>
      </c>
      <c r="AJ182" s="32">
        <f t="shared" si="133"/>
        <v>0</v>
      </c>
      <c r="AK182" s="7">
        <v>0</v>
      </c>
      <c r="AL182" s="32">
        <v>0</v>
      </c>
      <c r="AM182" s="32"/>
      <c r="AN182" s="4">
        <v>0</v>
      </c>
      <c r="AO182" s="32">
        <f t="shared" si="107"/>
        <v>0</v>
      </c>
      <c r="AP182" s="32">
        <f t="shared" si="108"/>
        <v>0</v>
      </c>
      <c r="AS182" s="32">
        <f t="shared" si="109"/>
        <v>0</v>
      </c>
      <c r="AT182" s="32">
        <f t="shared" si="99"/>
        <v>0</v>
      </c>
      <c r="AU182" s="32">
        <f t="shared" si="110"/>
        <v>0</v>
      </c>
      <c r="AV182" s="4">
        <f t="shared" si="111"/>
        <v>0</v>
      </c>
      <c r="AW182" s="32">
        <f t="shared" si="112"/>
        <v>0</v>
      </c>
      <c r="AX182" s="4">
        <f t="shared" si="113"/>
        <v>0</v>
      </c>
      <c r="AY182" s="32">
        <f t="shared" si="114"/>
        <v>0</v>
      </c>
      <c r="AZ182" s="4">
        <f t="shared" si="115"/>
        <v>0</v>
      </c>
      <c r="BA182" s="32">
        <f t="shared" si="116"/>
        <v>0</v>
      </c>
      <c r="BB182" s="32">
        <f t="shared" si="100"/>
        <v>0</v>
      </c>
      <c r="BC182" s="32">
        <f t="shared" si="117"/>
        <v>0</v>
      </c>
      <c r="BD182" s="32">
        <f t="shared" si="118"/>
        <v>0</v>
      </c>
      <c r="BF182" s="32">
        <f t="shared" si="119"/>
        <v>0</v>
      </c>
      <c r="BG182" s="32">
        <f t="shared" si="101"/>
        <v>0</v>
      </c>
      <c r="BH182" s="32">
        <f t="shared" si="120"/>
        <v>0</v>
      </c>
      <c r="BI182" s="4">
        <f t="shared" si="121"/>
        <v>0</v>
      </c>
      <c r="BJ182" s="32">
        <f t="shared" si="122"/>
        <v>0</v>
      </c>
      <c r="BK182" s="4">
        <f t="shared" si="123"/>
        <v>0</v>
      </c>
      <c r="BL182" s="32">
        <f t="shared" si="124"/>
        <v>0</v>
      </c>
      <c r="BM182" s="4">
        <f t="shared" si="125"/>
        <v>0</v>
      </c>
      <c r="BN182" s="32">
        <f t="shared" si="126"/>
        <v>0</v>
      </c>
      <c r="BO182" s="4">
        <f t="shared" si="127"/>
        <v>0</v>
      </c>
      <c r="BP182" s="32">
        <f t="shared" si="128"/>
        <v>0</v>
      </c>
      <c r="BQ182" s="32">
        <f t="shared" si="129"/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  <c r="DO182" s="4">
        <v>0</v>
      </c>
      <c r="DP182" s="4">
        <v>0</v>
      </c>
      <c r="DQ182" s="4">
        <v>0</v>
      </c>
    </row>
    <row r="183" spans="1:121" x14ac:dyDescent="0.35">
      <c r="A183" s="85">
        <f>'2017 Prop share of contribs'!A184</f>
        <v>301</v>
      </c>
      <c r="B183" s="85" t="str">
        <f>'2017 Prop share of contribs'!B184</f>
        <v xml:space="preserve">MADISONVILLE ABO  </v>
      </c>
      <c r="C183" s="25" t="s">
        <v>104</v>
      </c>
      <c r="D183" s="33">
        <f>ROUND('Employer Allocations'!G29,8)</f>
        <v>8.0329999999999996E-4</v>
      </c>
      <c r="E183" s="4">
        <f>ROUND('Employer Allocations'!H29,8)</f>
        <v>1.12316E-3</v>
      </c>
      <c r="F183" s="4">
        <f>ROUND('Employer Allocations'!I29,8)</f>
        <v>1.9264600000000001E-3</v>
      </c>
      <c r="G183" s="33">
        <v>1.27652E-3</v>
      </c>
      <c r="H183" s="4">
        <v>2.1138E-4</v>
      </c>
      <c r="I183" s="4">
        <v>1.4878999999999999E-3</v>
      </c>
      <c r="J183" s="7">
        <f t="shared" si="93"/>
        <v>21675238</v>
      </c>
      <c r="K183" s="7">
        <f t="shared" si="94"/>
        <v>30305939</v>
      </c>
      <c r="L183" s="7">
        <f t="shared" ref="L183" si="135">J183+K183</f>
        <v>51981177</v>
      </c>
      <c r="M183" s="7"/>
      <c r="N183" s="7">
        <f t="shared" si="95"/>
        <v>26868275</v>
      </c>
      <c r="O183" s="32">
        <f t="shared" si="96"/>
        <v>19304445</v>
      </c>
      <c r="P183" s="32"/>
      <c r="Q183" s="32">
        <f t="shared" si="97"/>
        <v>3700263</v>
      </c>
      <c r="R183" s="32">
        <f t="shared" si="103"/>
        <v>2157318</v>
      </c>
      <c r="S183" s="32">
        <f t="shared" ref="S183" si="136">Q183-R183</f>
        <v>1542945</v>
      </c>
      <c r="T183" s="32">
        <f>S183+AT183-BG183+BX183-CK183+CV183-DI183</f>
        <v>138583</v>
      </c>
      <c r="U183" s="32">
        <f t="shared" si="134"/>
        <v>117060</v>
      </c>
      <c r="V183" s="32">
        <f t="shared" si="134"/>
        <v>2557500</v>
      </c>
      <c r="W183" s="32">
        <f t="shared" si="134"/>
        <v>0</v>
      </c>
      <c r="X183" s="32">
        <f>AU183+BY183+CW183</f>
        <v>3039195</v>
      </c>
      <c r="Y183" s="32">
        <f>SUM(U183+V183+W183+X183)</f>
        <v>5713755</v>
      </c>
      <c r="Z183" s="32">
        <f t="shared" si="134"/>
        <v>118051</v>
      </c>
      <c r="AA183" s="32">
        <f t="shared" si="134"/>
        <v>1447900</v>
      </c>
      <c r="AB183" s="32">
        <f t="shared" si="134"/>
        <v>147384</v>
      </c>
      <c r="AC183" s="32">
        <f>BH183+CL183+DJ183</f>
        <v>9015330</v>
      </c>
      <c r="AD183" s="32">
        <f>SUM(Z183+AA183+AB183+AC183)</f>
        <v>10728665</v>
      </c>
      <c r="AE183" s="32">
        <f>ROUND(AE$2*$D183,0)+AV183-BI183+BZ183-CM183+CX183-DK183</f>
        <v>-1177834</v>
      </c>
      <c r="AF183" s="32">
        <f>ROUND(AF$2*$D183,0)+AX183-BK183+CB183-CO183+CZ183-DM183</f>
        <v>-919719</v>
      </c>
      <c r="AG183" s="32">
        <f>ROUND(AG$2*$D183,0)+AZ183-BM183+CD183-CQ183+DB183-DO183</f>
        <v>-2119908</v>
      </c>
      <c r="AH183" s="32">
        <f>Y183-AD183-AE183-AF183-AG183</f>
        <v>-797449</v>
      </c>
      <c r="AI183" s="32">
        <f>Y183-AD183-AE183-AF183-AG183-AH183</f>
        <v>0</v>
      </c>
      <c r="AJ183" s="32">
        <f>Y183-AD183-AE183-AF183-AG183-AH183-AI183</f>
        <v>0</v>
      </c>
      <c r="AK183" s="7">
        <v>37657478</v>
      </c>
      <c r="AL183" s="32">
        <v>10812155</v>
      </c>
      <c r="AM183" s="32">
        <v>476352</v>
      </c>
      <c r="AN183" s="7">
        <f>'Employer Allocations'!B29</f>
        <v>770104</v>
      </c>
      <c r="AO183" s="32">
        <f t="shared" si="107"/>
        <v>21675244</v>
      </c>
      <c r="AP183" s="32">
        <f t="shared" si="108"/>
        <v>-6</v>
      </c>
      <c r="AS183" s="32">
        <f t="shared" si="109"/>
        <v>0</v>
      </c>
      <c r="AT183" s="32">
        <f t="shared" si="99"/>
        <v>0</v>
      </c>
      <c r="AU183" s="32">
        <f t="shared" si="110"/>
        <v>0</v>
      </c>
      <c r="AV183" s="4">
        <f t="shared" si="111"/>
        <v>0</v>
      </c>
      <c r="AW183" s="32">
        <f t="shared" si="112"/>
        <v>0</v>
      </c>
      <c r="AX183" s="4">
        <f t="shared" si="113"/>
        <v>0</v>
      </c>
      <c r="AY183" s="32">
        <f t="shared" si="114"/>
        <v>0</v>
      </c>
      <c r="AZ183" s="4">
        <f t="shared" si="115"/>
        <v>0</v>
      </c>
      <c r="BA183" s="32">
        <f t="shared" si="116"/>
        <v>0</v>
      </c>
      <c r="BB183" s="32">
        <f t="shared" si="100"/>
        <v>0</v>
      </c>
      <c r="BC183" s="32">
        <f t="shared" si="117"/>
        <v>0</v>
      </c>
      <c r="BD183" s="32">
        <f t="shared" si="118"/>
        <v>0</v>
      </c>
      <c r="BF183" s="32">
        <f t="shared" si="119"/>
        <v>11747248</v>
      </c>
      <c r="BG183" s="32">
        <f t="shared" si="101"/>
        <v>2731918</v>
      </c>
      <c r="BH183" s="32">
        <f t="shared" si="120"/>
        <v>9015330</v>
      </c>
      <c r="BI183" s="4">
        <f t="shared" si="121"/>
        <v>2731918</v>
      </c>
      <c r="BJ183" s="32">
        <f t="shared" si="122"/>
        <v>6283412</v>
      </c>
      <c r="BK183" s="4">
        <f t="shared" si="123"/>
        <v>2731918</v>
      </c>
      <c r="BL183" s="32">
        <f t="shared" si="124"/>
        <v>3551494</v>
      </c>
      <c r="BM183" s="4">
        <f t="shared" si="125"/>
        <v>2731918</v>
      </c>
      <c r="BN183" s="32">
        <f t="shared" si="126"/>
        <v>819576</v>
      </c>
      <c r="BO183" s="32">
        <f>BN183</f>
        <v>819576</v>
      </c>
      <c r="BP183" s="32">
        <f t="shared" si="128"/>
        <v>0</v>
      </c>
      <c r="BQ183" s="32">
        <f t="shared" si="129"/>
        <v>0</v>
      </c>
      <c r="BS183" s="4">
        <v>6429009</v>
      </c>
      <c r="BT183" s="4">
        <v>1236348</v>
      </c>
      <c r="BU183" s="4">
        <v>5192661</v>
      </c>
      <c r="BV183" s="4">
        <v>1236348</v>
      </c>
      <c r="BW183" s="4">
        <v>3956313</v>
      </c>
      <c r="BX183" s="4">
        <v>1236348</v>
      </c>
      <c r="BY183" s="4">
        <v>2719965</v>
      </c>
      <c r="BZ183" s="4">
        <v>1236348</v>
      </c>
      <c r="CA183" s="4">
        <v>1483617</v>
      </c>
      <c r="CB183" s="4">
        <v>1236348</v>
      </c>
      <c r="CC183" s="4">
        <v>247269</v>
      </c>
      <c r="CD183" s="4">
        <v>247269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S183" s="4">
        <v>501646</v>
      </c>
      <c r="CT183" s="4">
        <v>91208</v>
      </c>
      <c r="CU183" s="4">
        <v>410438</v>
      </c>
      <c r="CV183" s="4">
        <v>91208</v>
      </c>
      <c r="CW183" s="4">
        <v>319230</v>
      </c>
      <c r="CX183" s="4">
        <v>91208</v>
      </c>
      <c r="CY183" s="4">
        <v>228022</v>
      </c>
      <c r="CZ183" s="4">
        <v>91208</v>
      </c>
      <c r="DA183" s="4">
        <v>136814</v>
      </c>
      <c r="DB183" s="4">
        <v>91208</v>
      </c>
      <c r="DC183" s="4">
        <v>45606</v>
      </c>
      <c r="DD183" s="4">
        <v>45606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  <c r="DO183" s="4">
        <v>0</v>
      </c>
      <c r="DP183" s="4">
        <v>0</v>
      </c>
      <c r="DQ183" s="4">
        <v>0</v>
      </c>
    </row>
    <row r="184" spans="1:121" x14ac:dyDescent="0.35">
      <c r="A184" s="85">
        <f>'2017 Prop share of contribs'!A185</f>
        <v>302</v>
      </c>
      <c r="B184" s="85" t="str">
        <f>'2017 Prop share of contribs'!B185</f>
        <v xml:space="preserve">BOWLING GREEN ABO  </v>
      </c>
      <c r="C184" s="25" t="s">
        <v>105</v>
      </c>
      <c r="D184" s="4">
        <f>ROUND('Employer Allocations'!G30,8)</f>
        <v>8.1941000000000002E-4</v>
      </c>
      <c r="E184" s="4">
        <f>ROUND('Employer Allocations'!H30,8)</f>
        <v>1.14569E-3</v>
      </c>
      <c r="F184" s="4">
        <f>ROUND('Employer Allocations'!I30,8)</f>
        <v>1.9651E-3</v>
      </c>
      <c r="G184" s="4">
        <v>1.30126E-3</v>
      </c>
      <c r="H184" s="4">
        <v>2.1547999999999999E-4</v>
      </c>
      <c r="I184" s="4">
        <v>1.5167399999999999E-3</v>
      </c>
      <c r="J184" s="7">
        <f t="shared" si="93"/>
        <v>22109930</v>
      </c>
      <c r="K184" s="7">
        <f t="shared" si="94"/>
        <v>30913860</v>
      </c>
      <c r="L184" s="7">
        <f t="shared" ref="L184:L185" si="137">J184+K184</f>
        <v>53023790</v>
      </c>
      <c r="M184" s="7"/>
      <c r="N184" s="7">
        <f t="shared" si="95"/>
        <v>27407112</v>
      </c>
      <c r="O184" s="32">
        <f t="shared" si="96"/>
        <v>19691591</v>
      </c>
      <c r="P184" s="32"/>
      <c r="Q184" s="32">
        <f t="shared" si="97"/>
        <v>3774481</v>
      </c>
      <c r="R184" s="32">
        <f t="shared" si="103"/>
        <v>2200593</v>
      </c>
      <c r="S184" s="32">
        <f t="shared" ref="S184:S185" si="138">Q184-R184</f>
        <v>1573888</v>
      </c>
      <c r="T184" s="32">
        <f t="shared" ref="T184:T210" si="139">S184+AT184-BG184+BX184-CK184+CV184-DI184</f>
        <v>-958492</v>
      </c>
      <c r="U184" s="32">
        <f t="shared" si="134"/>
        <v>119407</v>
      </c>
      <c r="V184" s="32">
        <f t="shared" si="134"/>
        <v>2608791</v>
      </c>
      <c r="W184" s="32">
        <f t="shared" si="134"/>
        <v>0</v>
      </c>
      <c r="X184" s="32">
        <f t="shared" ref="X184:X210" si="140">AU184+BY184+CW184</f>
        <v>614970</v>
      </c>
      <c r="Y184" s="32">
        <f t="shared" ref="Y184:Y213" si="141">SUM(U184+V184+W184+X184)</f>
        <v>3343168</v>
      </c>
      <c r="Z184" s="32">
        <f t="shared" si="134"/>
        <v>120419</v>
      </c>
      <c r="AA184" s="32">
        <f t="shared" si="134"/>
        <v>1476938</v>
      </c>
      <c r="AB184" s="32">
        <f t="shared" si="134"/>
        <v>150340</v>
      </c>
      <c r="AC184" s="32">
        <f t="shared" ref="AC184:AC210" si="142">BH184+CL184+DJ184</f>
        <v>9179740</v>
      </c>
      <c r="AD184" s="32">
        <f t="shared" ref="AD184:AD210" si="143">SUM(Z184+AA184+AB184+AC184)</f>
        <v>10927437</v>
      </c>
      <c r="AE184" s="32">
        <f>ROUND(AE$2*$D184,0)+AV184-BI184+BZ184-CM184+CX184-DK184</f>
        <v>-2301309</v>
      </c>
      <c r="AF184" s="32">
        <f t="shared" ref="AF184:AF210" si="144">ROUND(AF$2*$D184,0)+AX184-BK184+CB184-CO184+CZ184-DM184</f>
        <v>-2038018</v>
      </c>
      <c r="AG184" s="32">
        <f>ROUND(AG$2*$D184,0)+AZ184-BM184+CD184-CQ184+DB184-DO184</f>
        <v>-2411998</v>
      </c>
      <c r="AH184" s="32">
        <f t="shared" ref="AH184:AH213" si="145">Y184-AD184-AE184-AF184-AG184</f>
        <v>-832944</v>
      </c>
      <c r="AI184" s="32">
        <f>Y184-AD184-AE184-AF184-AG184-AH184</f>
        <v>0</v>
      </c>
      <c r="AJ184" s="32">
        <f t="shared" ref="AJ184:AJ213" si="146">Y184-AD184-AE184-AF184-AG184-AH184-AI184</f>
        <v>0</v>
      </c>
      <c r="AK184" s="7">
        <v>38387310</v>
      </c>
      <c r="AL184" s="32">
        <v>7434650</v>
      </c>
      <c r="AM184" s="32">
        <v>485584</v>
      </c>
      <c r="AN184" s="7">
        <f>'Employer Allocations'!B30</f>
        <v>785551</v>
      </c>
      <c r="AO184" s="32">
        <f t="shared" si="107"/>
        <v>22109932</v>
      </c>
      <c r="AP184" s="32">
        <f t="shared" si="108"/>
        <v>-2</v>
      </c>
      <c r="AS184" s="32">
        <f t="shared" si="109"/>
        <v>0</v>
      </c>
      <c r="AT184" s="32">
        <f t="shared" si="99"/>
        <v>0</v>
      </c>
      <c r="AU184" s="32">
        <f t="shared" si="110"/>
        <v>0</v>
      </c>
      <c r="AV184" s="4">
        <f t="shared" si="111"/>
        <v>0</v>
      </c>
      <c r="AW184" s="32">
        <f t="shared" si="112"/>
        <v>0</v>
      </c>
      <c r="AX184" s="4">
        <f t="shared" si="113"/>
        <v>0</v>
      </c>
      <c r="AY184" s="32">
        <f t="shared" si="114"/>
        <v>0</v>
      </c>
      <c r="AZ184" s="4">
        <f t="shared" si="115"/>
        <v>0</v>
      </c>
      <c r="BA184" s="32">
        <f t="shared" si="116"/>
        <v>0</v>
      </c>
      <c r="BB184" s="32">
        <f t="shared" si="100"/>
        <v>0</v>
      </c>
      <c r="BC184" s="32">
        <f t="shared" si="117"/>
        <v>0</v>
      </c>
      <c r="BD184" s="32">
        <f t="shared" si="118"/>
        <v>0</v>
      </c>
      <c r="BF184" s="32">
        <f t="shared" si="119"/>
        <v>11961479</v>
      </c>
      <c r="BG184" s="32">
        <f t="shared" si="101"/>
        <v>2781739</v>
      </c>
      <c r="BH184" s="32">
        <f t="shared" si="120"/>
        <v>9179740</v>
      </c>
      <c r="BI184" s="4">
        <f t="shared" si="121"/>
        <v>2781739</v>
      </c>
      <c r="BJ184" s="32">
        <f t="shared" si="122"/>
        <v>6398001</v>
      </c>
      <c r="BK184" s="4">
        <f t="shared" si="123"/>
        <v>2781739</v>
      </c>
      <c r="BL184" s="32">
        <f t="shared" si="124"/>
        <v>3616262</v>
      </c>
      <c r="BM184" s="4">
        <f t="shared" si="125"/>
        <v>2781739</v>
      </c>
      <c r="BN184" s="32">
        <f t="shared" si="126"/>
        <v>834523</v>
      </c>
      <c r="BO184" s="32">
        <f t="shared" ref="BO184:BO210" si="147">BN184</f>
        <v>834523</v>
      </c>
      <c r="BP184" s="32">
        <f t="shared" si="128"/>
        <v>0</v>
      </c>
      <c r="BQ184" s="32">
        <f t="shared" si="129"/>
        <v>0</v>
      </c>
      <c r="BS184" s="4">
        <v>1031157</v>
      </c>
      <c r="BT184" s="4">
        <v>198299</v>
      </c>
      <c r="BU184" s="4">
        <v>832858</v>
      </c>
      <c r="BV184" s="4">
        <v>198299</v>
      </c>
      <c r="BW184" s="4">
        <v>634559</v>
      </c>
      <c r="BX184" s="4">
        <v>198299</v>
      </c>
      <c r="BY184" s="4">
        <v>436260</v>
      </c>
      <c r="BZ184" s="4">
        <v>198299</v>
      </c>
      <c r="CA184" s="4">
        <v>237961</v>
      </c>
      <c r="CB184" s="4">
        <v>198299</v>
      </c>
      <c r="CC184" s="4">
        <v>39662</v>
      </c>
      <c r="CD184" s="4">
        <v>39662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S184" s="4">
        <v>280830</v>
      </c>
      <c r="CT184" s="4">
        <v>51060</v>
      </c>
      <c r="CU184" s="4">
        <v>229770</v>
      </c>
      <c r="CV184" s="4">
        <v>51060</v>
      </c>
      <c r="CW184" s="4">
        <v>178710</v>
      </c>
      <c r="CX184" s="4">
        <v>51060</v>
      </c>
      <c r="CY184" s="4">
        <v>127650</v>
      </c>
      <c r="CZ184" s="4">
        <v>51060</v>
      </c>
      <c r="DA184" s="4">
        <v>76590</v>
      </c>
      <c r="DB184" s="4">
        <v>51060</v>
      </c>
      <c r="DC184" s="4">
        <v>25530</v>
      </c>
      <c r="DD184" s="4">
        <v>25530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  <c r="DO184" s="4">
        <v>0</v>
      </c>
      <c r="DP184" s="4">
        <v>0</v>
      </c>
      <c r="DQ184" s="4">
        <v>0</v>
      </c>
    </row>
    <row r="185" spans="1:121" x14ac:dyDescent="0.35">
      <c r="A185" s="85">
        <f>'2017 Prop share of contribs'!A186</f>
        <v>303</v>
      </c>
      <c r="B185" s="85" t="str">
        <f>'2017 Prop share of contribs'!B186</f>
        <v xml:space="preserve">ELIZABETHTOWN ABO  </v>
      </c>
      <c r="C185" s="25" t="s">
        <v>106</v>
      </c>
      <c r="D185" s="4">
        <f>ROUND('Employer Allocations'!G31,8)</f>
        <v>3.7000000000000002E-6</v>
      </c>
      <c r="E185" s="4">
        <f>ROUND('Employer Allocations'!H31,8)</f>
        <v>5.1699999999999996E-6</v>
      </c>
      <c r="F185" s="4">
        <f>ROUND('Employer Allocations'!I31,8)</f>
        <v>8.8799999999999997E-6</v>
      </c>
      <c r="G185" s="4">
        <v>9.8967E-4</v>
      </c>
      <c r="H185" s="4">
        <v>1.6388000000000001E-4</v>
      </c>
      <c r="I185" s="4">
        <v>1.1535499999999999E-3</v>
      </c>
      <c r="J185" s="7">
        <f t="shared" si="93"/>
        <v>99836</v>
      </c>
      <c r="K185" s="7">
        <f t="shared" si="94"/>
        <v>139501</v>
      </c>
      <c r="L185" s="7">
        <f t="shared" si="137"/>
        <v>239337</v>
      </c>
      <c r="M185" s="7"/>
      <c r="N185" s="7">
        <f t="shared" si="95"/>
        <v>123755</v>
      </c>
      <c r="O185" s="32">
        <f t="shared" si="96"/>
        <v>88916</v>
      </c>
      <c r="P185" s="32"/>
      <c r="Q185" s="32">
        <f t="shared" si="97"/>
        <v>17056</v>
      </c>
      <c r="R185" s="32">
        <f t="shared" si="103"/>
        <v>9930</v>
      </c>
      <c r="S185" s="32">
        <f t="shared" si="138"/>
        <v>7126</v>
      </c>
      <c r="T185" s="32">
        <f t="shared" si="139"/>
        <v>-5869268</v>
      </c>
      <c r="U185" s="32">
        <f t="shared" si="134"/>
        <v>539</v>
      </c>
      <c r="V185" s="32">
        <f t="shared" si="134"/>
        <v>11780</v>
      </c>
      <c r="W185" s="32">
        <f t="shared" si="134"/>
        <v>0</v>
      </c>
      <c r="X185" s="32">
        <f t="shared" si="140"/>
        <v>718664</v>
      </c>
      <c r="Y185" s="32">
        <f t="shared" si="141"/>
        <v>730983</v>
      </c>
      <c r="Z185" s="32">
        <f t="shared" si="134"/>
        <v>544</v>
      </c>
      <c r="AA185" s="32">
        <f t="shared" si="134"/>
        <v>6669</v>
      </c>
      <c r="AB185" s="32">
        <f t="shared" si="134"/>
        <v>679</v>
      </c>
      <c r="AC185" s="32">
        <f t="shared" si="142"/>
        <v>20572304</v>
      </c>
      <c r="AD185" s="32">
        <f t="shared" si="143"/>
        <v>20580196</v>
      </c>
      <c r="AE185" s="32">
        <f>ROUND(AE$2*$D185,0)+AV185-BI185+BZ185-CM185+CX185-DK185</f>
        <v>-5875351</v>
      </c>
      <c r="AF185" s="32">
        <f t="shared" si="144"/>
        <v>-5874162</v>
      </c>
      <c r="AG185" s="32">
        <f>ROUND(AG$2*$D185,0)+AZ185-BM185+CD185-CQ185+DB185-DO185</f>
        <v>-6136468</v>
      </c>
      <c r="AH185" s="32">
        <f t="shared" si="145"/>
        <v>-1963232</v>
      </c>
      <c r="AI185" s="32">
        <f>Y185-AD185-AE185-AF185-AG185-AH185</f>
        <v>0</v>
      </c>
      <c r="AJ185" s="32">
        <f t="shared" si="146"/>
        <v>0</v>
      </c>
      <c r="AK185" s="7">
        <v>29195372</v>
      </c>
      <c r="AL185" s="32">
        <v>6042371</v>
      </c>
      <c r="AM185" s="32">
        <v>2668882</v>
      </c>
      <c r="AN185" s="7">
        <f>'Employer Allocations'!B31</f>
        <v>3548</v>
      </c>
      <c r="AO185" s="32">
        <f t="shared" si="107"/>
        <v>99854</v>
      </c>
      <c r="AP185" s="32">
        <f t="shared" si="108"/>
        <v>-18</v>
      </c>
      <c r="AS185" s="32">
        <f t="shared" si="109"/>
        <v>0</v>
      </c>
      <c r="AT185" s="32">
        <f t="shared" si="99"/>
        <v>0</v>
      </c>
      <c r="AU185" s="32">
        <f t="shared" si="110"/>
        <v>0</v>
      </c>
      <c r="AV185" s="4">
        <f t="shared" si="111"/>
        <v>0</v>
      </c>
      <c r="AW185" s="32">
        <f t="shared" si="112"/>
        <v>0</v>
      </c>
      <c r="AX185" s="4">
        <f t="shared" si="113"/>
        <v>0</v>
      </c>
      <c r="AY185" s="32">
        <f t="shared" si="114"/>
        <v>0</v>
      </c>
      <c r="AZ185" s="4">
        <f t="shared" si="115"/>
        <v>0</v>
      </c>
      <c r="BA185" s="32">
        <f t="shared" si="116"/>
        <v>0</v>
      </c>
      <c r="BB185" s="32">
        <f t="shared" si="100"/>
        <v>0</v>
      </c>
      <c r="BC185" s="32">
        <f t="shared" si="117"/>
        <v>0</v>
      </c>
      <c r="BD185" s="32">
        <f t="shared" si="118"/>
        <v>0</v>
      </c>
      <c r="BF185" s="32">
        <f t="shared" si="119"/>
        <v>24475791</v>
      </c>
      <c r="BG185" s="32">
        <f t="shared" si="101"/>
        <v>5692044</v>
      </c>
      <c r="BH185" s="32">
        <f t="shared" si="120"/>
        <v>18783747</v>
      </c>
      <c r="BI185" s="4">
        <f t="shared" si="121"/>
        <v>5692044</v>
      </c>
      <c r="BJ185" s="32">
        <f t="shared" si="122"/>
        <v>13091703</v>
      </c>
      <c r="BK185" s="4">
        <f t="shared" si="123"/>
        <v>5692044</v>
      </c>
      <c r="BL185" s="32">
        <f t="shared" si="124"/>
        <v>7399659</v>
      </c>
      <c r="BM185" s="4">
        <f t="shared" si="125"/>
        <v>5692044</v>
      </c>
      <c r="BN185" s="32">
        <f t="shared" si="126"/>
        <v>1707615</v>
      </c>
      <c r="BO185" s="32">
        <f t="shared" si="147"/>
        <v>1707615</v>
      </c>
      <c r="BP185" s="32">
        <f t="shared" si="128"/>
        <v>0</v>
      </c>
      <c r="BQ185" s="32">
        <f t="shared" si="129"/>
        <v>0</v>
      </c>
      <c r="BS185" s="4">
        <v>1698662</v>
      </c>
      <c r="BT185" s="4">
        <v>326666</v>
      </c>
      <c r="BU185" s="4">
        <v>1371996</v>
      </c>
      <c r="BV185" s="4">
        <v>326666</v>
      </c>
      <c r="BW185" s="4">
        <v>1045330</v>
      </c>
      <c r="BX185" s="4">
        <v>326666</v>
      </c>
      <c r="BY185" s="4">
        <v>718664</v>
      </c>
      <c r="BZ185" s="4">
        <v>326666</v>
      </c>
      <c r="CA185" s="4">
        <v>391998</v>
      </c>
      <c r="CB185" s="4">
        <v>326666</v>
      </c>
      <c r="CC185" s="4">
        <v>65332</v>
      </c>
      <c r="CD185" s="4">
        <v>65332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F185" s="4">
        <v>2810589</v>
      </c>
      <c r="DG185" s="4">
        <v>511016</v>
      </c>
      <c r="DH185" s="4">
        <v>2299573</v>
      </c>
      <c r="DI185" s="4">
        <v>511016</v>
      </c>
      <c r="DJ185" s="4">
        <v>1788557</v>
      </c>
      <c r="DK185" s="4">
        <v>511016</v>
      </c>
      <c r="DL185" s="4">
        <v>1277541</v>
      </c>
      <c r="DM185" s="4">
        <v>511016</v>
      </c>
      <c r="DN185" s="4">
        <v>766525</v>
      </c>
      <c r="DO185" s="4">
        <v>511016</v>
      </c>
      <c r="DP185" s="4">
        <v>255509</v>
      </c>
      <c r="DQ185" s="4">
        <v>255509</v>
      </c>
    </row>
    <row r="186" spans="1:121" x14ac:dyDescent="0.35">
      <c r="A186" s="85">
        <f>'2017 Prop share of contribs'!A187</f>
        <v>304</v>
      </c>
      <c r="B186" s="85" t="str">
        <f>'2017 Prop share of contribs'!B187</f>
        <v xml:space="preserve">FRANKFORT ABO  </v>
      </c>
      <c r="C186" s="25" t="s">
        <v>107</v>
      </c>
      <c r="D186" s="4">
        <f>ROUND('Employer Allocations'!G32,8)</f>
        <v>6.5165999999999998E-4</v>
      </c>
      <c r="E186" s="4">
        <f>ROUND('Employer Allocations'!H32,8)</f>
        <v>9.1115E-4</v>
      </c>
      <c r="F186" s="4">
        <f>ROUND('Employer Allocations'!I32,8)</f>
        <v>1.56281E-3</v>
      </c>
      <c r="G186" s="4">
        <v>1.3143499999999999E-3</v>
      </c>
      <c r="H186" s="4">
        <v>2.1764000000000001E-4</v>
      </c>
      <c r="I186" s="4">
        <v>1.53199E-3</v>
      </c>
      <c r="J186" s="7">
        <f t="shared" si="93"/>
        <v>17583575</v>
      </c>
      <c r="K186" s="7">
        <f t="shared" si="94"/>
        <v>24585327</v>
      </c>
      <c r="L186" s="7">
        <f t="shared" ref="L186:L210" si="148">J186+K186</f>
        <v>42168902</v>
      </c>
      <c r="M186" s="7"/>
      <c r="N186" s="7">
        <f t="shared" si="95"/>
        <v>21796315</v>
      </c>
      <c r="O186" s="32">
        <f t="shared" si="96"/>
        <v>15660319</v>
      </c>
      <c r="P186" s="32"/>
      <c r="Q186" s="32">
        <f t="shared" si="97"/>
        <v>3001779</v>
      </c>
      <c r="R186" s="32">
        <f t="shared" si="103"/>
        <v>1750098</v>
      </c>
      <c r="S186" s="32">
        <f t="shared" ref="S186:S210" si="149">Q186-R186</f>
        <v>1251681</v>
      </c>
      <c r="T186" s="32">
        <f t="shared" si="139"/>
        <v>-3796791</v>
      </c>
      <c r="U186" s="32">
        <f t="shared" si="134"/>
        <v>94962</v>
      </c>
      <c r="V186" s="32">
        <f t="shared" si="134"/>
        <v>2074718</v>
      </c>
      <c r="W186" s="32">
        <f t="shared" si="134"/>
        <v>0</v>
      </c>
      <c r="X186" s="32">
        <f t="shared" si="140"/>
        <v>0</v>
      </c>
      <c r="Y186" s="32">
        <f t="shared" si="141"/>
        <v>2169680</v>
      </c>
      <c r="Z186" s="32">
        <f t="shared" si="134"/>
        <v>95766</v>
      </c>
      <c r="AA186" s="32">
        <f t="shared" si="134"/>
        <v>1174578</v>
      </c>
      <c r="AB186" s="32">
        <f t="shared" si="134"/>
        <v>119562</v>
      </c>
      <c r="AC186" s="32">
        <f t="shared" si="142"/>
        <v>15629350</v>
      </c>
      <c r="AD186" s="32">
        <f t="shared" si="143"/>
        <v>17019256</v>
      </c>
      <c r="AE186" s="32">
        <f t="shared" ref="AE186:AE210" si="150">ROUND(AE$2*$D186,0)+AV186-BI186+BZ186-CM186+CX186-DK186</f>
        <v>-4864706</v>
      </c>
      <c r="AF186" s="32">
        <f t="shared" si="144"/>
        <v>-4655316</v>
      </c>
      <c r="AG186" s="32">
        <f t="shared" ref="AG186:AG210" si="151">ROUND(AG$2*$D186,0)+AZ186-BM186+CD186-CQ186+DB186-DO186</f>
        <v>-4041865</v>
      </c>
      <c r="AH186" s="32">
        <f t="shared" si="145"/>
        <v>-1287689</v>
      </c>
      <c r="AI186" s="32">
        <f t="shared" ref="AI186:AI210" si="152">Y186-AD186-AE186-AF186-AG186-AH186</f>
        <v>0</v>
      </c>
      <c r="AJ186" s="32">
        <f t="shared" si="146"/>
        <v>0</v>
      </c>
      <c r="AK186" s="7">
        <v>38773467</v>
      </c>
      <c r="AL186" s="32">
        <v>6636416</v>
      </c>
      <c r="AM186" s="32">
        <v>4717625</v>
      </c>
      <c r="AN186" s="7">
        <f>'Employer Allocations'!B32</f>
        <v>624735</v>
      </c>
      <c r="AO186" s="32">
        <f t="shared" si="107"/>
        <v>17583574</v>
      </c>
      <c r="AP186" s="32">
        <f t="shared" si="108"/>
        <v>1</v>
      </c>
      <c r="AS186" s="32">
        <f t="shared" si="109"/>
        <v>0</v>
      </c>
      <c r="AT186" s="32">
        <f t="shared" si="99"/>
        <v>0</v>
      </c>
      <c r="AU186" s="32">
        <f t="shared" si="110"/>
        <v>0</v>
      </c>
      <c r="AV186" s="4">
        <f t="shared" si="111"/>
        <v>0</v>
      </c>
      <c r="AW186" s="32">
        <f t="shared" si="112"/>
        <v>0</v>
      </c>
      <c r="AX186" s="4">
        <f t="shared" si="113"/>
        <v>0</v>
      </c>
      <c r="AY186" s="32">
        <f t="shared" si="114"/>
        <v>0</v>
      </c>
      <c r="AZ186" s="4">
        <f t="shared" si="115"/>
        <v>0</v>
      </c>
      <c r="BA186" s="32">
        <f t="shared" si="116"/>
        <v>0</v>
      </c>
      <c r="BB186" s="32">
        <f t="shared" si="100"/>
        <v>0</v>
      </c>
      <c r="BC186" s="32">
        <f t="shared" si="117"/>
        <v>0</v>
      </c>
      <c r="BD186" s="32">
        <f t="shared" si="118"/>
        <v>0</v>
      </c>
      <c r="BF186" s="32">
        <f t="shared" si="119"/>
        <v>16450665</v>
      </c>
      <c r="BG186" s="32">
        <f t="shared" si="101"/>
        <v>3825736</v>
      </c>
      <c r="BH186" s="32">
        <f t="shared" si="120"/>
        <v>12624929</v>
      </c>
      <c r="BI186" s="4">
        <f t="shared" si="121"/>
        <v>3825736</v>
      </c>
      <c r="BJ186" s="32">
        <f t="shared" si="122"/>
        <v>8799193</v>
      </c>
      <c r="BK186" s="4">
        <f t="shared" si="123"/>
        <v>3825736</v>
      </c>
      <c r="BL186" s="32">
        <f t="shared" si="124"/>
        <v>4973457</v>
      </c>
      <c r="BM186" s="4">
        <f t="shared" si="125"/>
        <v>3825736</v>
      </c>
      <c r="BN186" s="32">
        <f t="shared" si="126"/>
        <v>1147721</v>
      </c>
      <c r="BO186" s="32">
        <f t="shared" si="147"/>
        <v>1147721</v>
      </c>
      <c r="BP186" s="32">
        <f t="shared" si="128"/>
        <v>0</v>
      </c>
      <c r="BQ186" s="32">
        <f t="shared" si="129"/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F186" s="4">
        <v>5100619</v>
      </c>
      <c r="CG186" s="4">
        <v>980888</v>
      </c>
      <c r="CH186" s="4">
        <v>4119731</v>
      </c>
      <c r="CI186" s="4">
        <v>980888</v>
      </c>
      <c r="CJ186" s="4">
        <v>3138843</v>
      </c>
      <c r="CK186" s="4">
        <v>980888</v>
      </c>
      <c r="CL186" s="4">
        <v>2157955</v>
      </c>
      <c r="CM186" s="4">
        <v>980888</v>
      </c>
      <c r="CN186" s="4">
        <v>1177067</v>
      </c>
      <c r="CO186" s="4">
        <v>980888</v>
      </c>
      <c r="CP186" s="4">
        <v>196179</v>
      </c>
      <c r="CQ186" s="4">
        <v>196179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F186" s="4">
        <v>1330162</v>
      </c>
      <c r="DG186" s="4">
        <v>241848</v>
      </c>
      <c r="DH186" s="4">
        <v>1088314</v>
      </c>
      <c r="DI186" s="4">
        <v>241848</v>
      </c>
      <c r="DJ186" s="4">
        <v>846466</v>
      </c>
      <c r="DK186" s="4">
        <v>241848</v>
      </c>
      <c r="DL186" s="4">
        <v>604618</v>
      </c>
      <c r="DM186" s="4">
        <v>241848</v>
      </c>
      <c r="DN186" s="4">
        <v>362770</v>
      </c>
      <c r="DO186" s="4">
        <v>241848</v>
      </c>
      <c r="DP186" s="4">
        <v>120922</v>
      </c>
      <c r="DQ186" s="4">
        <v>120922</v>
      </c>
    </row>
    <row r="187" spans="1:121" x14ac:dyDescent="0.35">
      <c r="A187" s="85">
        <f>'2017 Prop share of contribs'!A188</f>
        <v>305</v>
      </c>
      <c r="B187" s="85" t="str">
        <f>'2017 Prop share of contribs'!B188</f>
        <v xml:space="preserve">HAZARD ABO  </v>
      </c>
      <c r="C187" s="25" t="s">
        <v>108</v>
      </c>
      <c r="D187" s="4">
        <f>ROUND('Employer Allocations'!G33,8)</f>
        <v>7.6628000000000004E-4</v>
      </c>
      <c r="E187" s="4">
        <f>ROUND('Employer Allocations'!H33,8)</f>
        <v>1.0713999999999999E-3</v>
      </c>
      <c r="F187" s="4">
        <f>ROUND('Employer Allocations'!I33,8)</f>
        <v>1.83768E-3</v>
      </c>
      <c r="G187" s="4">
        <v>1.3277499999999999E-3</v>
      </c>
      <c r="H187" s="4">
        <v>2.1986E-4</v>
      </c>
      <c r="I187" s="4">
        <v>1.54761E-3</v>
      </c>
      <c r="J187" s="7">
        <f t="shared" si="93"/>
        <v>20676337</v>
      </c>
      <c r="K187" s="7">
        <f t="shared" si="94"/>
        <v>28909312</v>
      </c>
      <c r="L187" s="7">
        <f t="shared" si="148"/>
        <v>49585649</v>
      </c>
      <c r="M187" s="7"/>
      <c r="N187" s="7">
        <f t="shared" si="95"/>
        <v>25630053</v>
      </c>
      <c r="O187" s="32">
        <f t="shared" si="96"/>
        <v>18414801</v>
      </c>
      <c r="P187" s="32"/>
      <c r="Q187" s="32">
        <f t="shared" si="97"/>
        <v>3529738</v>
      </c>
      <c r="R187" s="32">
        <f t="shared" si="103"/>
        <v>2057900</v>
      </c>
      <c r="S187" s="32">
        <f t="shared" si="149"/>
        <v>1471838</v>
      </c>
      <c r="T187" s="32">
        <f t="shared" si="139"/>
        <v>-2346472</v>
      </c>
      <c r="U187" s="32">
        <f t="shared" si="134"/>
        <v>111665</v>
      </c>
      <c r="V187" s="32">
        <f t="shared" si="134"/>
        <v>2439638</v>
      </c>
      <c r="W187" s="32">
        <f t="shared" si="134"/>
        <v>0</v>
      </c>
      <c r="X187" s="32">
        <f t="shared" si="140"/>
        <v>0</v>
      </c>
      <c r="Y187" s="32">
        <f t="shared" si="141"/>
        <v>2551303</v>
      </c>
      <c r="Z187" s="32">
        <f t="shared" si="134"/>
        <v>112611</v>
      </c>
      <c r="AA187" s="32">
        <f t="shared" si="134"/>
        <v>1381174</v>
      </c>
      <c r="AB187" s="32">
        <f t="shared" si="134"/>
        <v>140592</v>
      </c>
      <c r="AC187" s="32">
        <f t="shared" si="142"/>
        <v>12049351</v>
      </c>
      <c r="AD187" s="32">
        <f t="shared" si="143"/>
        <v>13683728</v>
      </c>
      <c r="AE187" s="32">
        <f t="shared" si="150"/>
        <v>-3602222</v>
      </c>
      <c r="AF187" s="32">
        <f t="shared" si="144"/>
        <v>-3356002</v>
      </c>
      <c r="AG187" s="32">
        <f t="shared" si="151"/>
        <v>-3147256</v>
      </c>
      <c r="AH187" s="32">
        <f t="shared" si="145"/>
        <v>-1026945</v>
      </c>
      <c r="AI187" s="32">
        <f t="shared" si="152"/>
        <v>0</v>
      </c>
      <c r="AJ187" s="32">
        <f t="shared" si="146"/>
        <v>0</v>
      </c>
      <c r="AK187" s="7">
        <v>39168768</v>
      </c>
      <c r="AL187" s="32">
        <v>6704075</v>
      </c>
      <c r="AM187" s="32">
        <v>2425158</v>
      </c>
      <c r="AN187" s="7">
        <f>'Employer Allocations'!B33</f>
        <v>734615</v>
      </c>
      <c r="AO187" s="32">
        <f t="shared" si="107"/>
        <v>20676339</v>
      </c>
      <c r="AP187" s="32">
        <f t="shared" si="108"/>
        <v>-2</v>
      </c>
      <c r="AS187" s="32">
        <f t="shared" si="109"/>
        <v>0</v>
      </c>
      <c r="AT187" s="32">
        <f t="shared" si="99"/>
        <v>0</v>
      </c>
      <c r="AU187" s="32">
        <f t="shared" si="110"/>
        <v>0</v>
      </c>
      <c r="AV187" s="4">
        <f t="shared" si="111"/>
        <v>0</v>
      </c>
      <c r="AW187" s="32">
        <f t="shared" si="112"/>
        <v>0</v>
      </c>
      <c r="AX187" s="4">
        <f t="shared" si="113"/>
        <v>0</v>
      </c>
      <c r="AY187" s="32">
        <f t="shared" si="114"/>
        <v>0</v>
      </c>
      <c r="AZ187" s="4">
        <f t="shared" si="115"/>
        <v>0</v>
      </c>
      <c r="BA187" s="32">
        <f t="shared" si="116"/>
        <v>0</v>
      </c>
      <c r="BB187" s="32">
        <f t="shared" si="100"/>
        <v>0</v>
      </c>
      <c r="BC187" s="32">
        <f t="shared" si="117"/>
        <v>0</v>
      </c>
      <c r="BD187" s="32">
        <f t="shared" si="118"/>
        <v>0</v>
      </c>
      <c r="BF187" s="32">
        <f t="shared" si="119"/>
        <v>13937972</v>
      </c>
      <c r="BG187" s="32">
        <f t="shared" si="101"/>
        <v>3241389</v>
      </c>
      <c r="BH187" s="32">
        <f t="shared" si="120"/>
        <v>10696583</v>
      </c>
      <c r="BI187" s="4">
        <f t="shared" si="121"/>
        <v>3241389</v>
      </c>
      <c r="BJ187" s="32">
        <f t="shared" si="122"/>
        <v>7455194</v>
      </c>
      <c r="BK187" s="4">
        <f t="shared" si="123"/>
        <v>3241389</v>
      </c>
      <c r="BL187" s="32">
        <f t="shared" si="124"/>
        <v>4213805</v>
      </c>
      <c r="BM187" s="4">
        <f t="shared" si="125"/>
        <v>3241389</v>
      </c>
      <c r="BN187" s="32">
        <f t="shared" si="126"/>
        <v>972416</v>
      </c>
      <c r="BO187" s="32">
        <f t="shared" si="147"/>
        <v>972416</v>
      </c>
      <c r="BP187" s="32">
        <f t="shared" si="128"/>
        <v>0</v>
      </c>
      <c r="BQ187" s="32">
        <f t="shared" si="129"/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F187" s="4">
        <v>2665827</v>
      </c>
      <c r="CG187" s="4">
        <v>512659</v>
      </c>
      <c r="CH187" s="4">
        <v>2153168</v>
      </c>
      <c r="CI187" s="4">
        <v>512659</v>
      </c>
      <c r="CJ187" s="4">
        <v>1640509</v>
      </c>
      <c r="CK187" s="4">
        <v>512659</v>
      </c>
      <c r="CL187" s="4">
        <v>1127850</v>
      </c>
      <c r="CM187" s="4">
        <v>512659</v>
      </c>
      <c r="CN187" s="4">
        <v>615191</v>
      </c>
      <c r="CO187" s="4">
        <v>512659</v>
      </c>
      <c r="CP187" s="4">
        <v>102532</v>
      </c>
      <c r="CQ187" s="4">
        <v>102532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F187" s="4">
        <v>353442</v>
      </c>
      <c r="DG187" s="4">
        <v>64262</v>
      </c>
      <c r="DH187" s="4">
        <v>289180</v>
      </c>
      <c r="DI187" s="4">
        <v>64262</v>
      </c>
      <c r="DJ187" s="4">
        <v>224918</v>
      </c>
      <c r="DK187" s="4">
        <v>64262</v>
      </c>
      <c r="DL187" s="4">
        <v>160656</v>
      </c>
      <c r="DM187" s="4">
        <v>64262</v>
      </c>
      <c r="DN187" s="4">
        <v>96394</v>
      </c>
      <c r="DO187" s="4">
        <v>64262</v>
      </c>
      <c r="DP187" s="4">
        <v>32132</v>
      </c>
      <c r="DQ187" s="4">
        <v>32132</v>
      </c>
    </row>
    <row r="188" spans="1:121" x14ac:dyDescent="0.35">
      <c r="A188" s="85">
        <f>'2017 Prop share of contribs'!A189</f>
        <v>308</v>
      </c>
      <c r="B188" s="85" t="str">
        <f>'2017 Prop share of contribs'!B189</f>
        <v xml:space="preserve">ADULT COUNCIL ON POST SEC EDUC  </v>
      </c>
      <c r="C188" s="25" t="s">
        <v>109</v>
      </c>
      <c r="D188" s="4">
        <f>ROUND('Employer Allocations'!G34,8)</f>
        <v>5.4440000000000001E-5</v>
      </c>
      <c r="E188" s="4">
        <f>ROUND('Employer Allocations'!H34,8)</f>
        <v>7.6119999999999996E-5</v>
      </c>
      <c r="F188" s="4">
        <f>ROUND('Employer Allocations'!I34,8)</f>
        <v>1.3056E-4</v>
      </c>
      <c r="G188" s="4">
        <v>1.3129999999999999E-4</v>
      </c>
      <c r="H188" s="4">
        <v>2.1739999999999999E-5</v>
      </c>
      <c r="I188" s="4">
        <v>1.5304000000000001E-4</v>
      </c>
      <c r="J188" s="7">
        <f t="shared" si="93"/>
        <v>1468941</v>
      </c>
      <c r="K188" s="7">
        <f t="shared" si="94"/>
        <v>2053926</v>
      </c>
      <c r="L188" s="7">
        <f t="shared" si="148"/>
        <v>3522867</v>
      </c>
      <c r="M188" s="7"/>
      <c r="N188" s="7">
        <f t="shared" si="95"/>
        <v>1820875</v>
      </c>
      <c r="O188" s="32">
        <f t="shared" si="96"/>
        <v>1308271</v>
      </c>
      <c r="P188" s="32"/>
      <c r="Q188" s="32">
        <f t="shared" si="97"/>
        <v>250774</v>
      </c>
      <c r="R188" s="32">
        <f t="shared" si="103"/>
        <v>146208</v>
      </c>
      <c r="S188" s="32">
        <f t="shared" si="149"/>
        <v>104566</v>
      </c>
      <c r="T188" s="32">
        <f t="shared" si="139"/>
        <v>-465145</v>
      </c>
      <c r="U188" s="32">
        <f t="shared" si="134"/>
        <v>7933</v>
      </c>
      <c r="V188" s="32">
        <f t="shared" si="134"/>
        <v>173323</v>
      </c>
      <c r="W188" s="32">
        <f t="shared" si="134"/>
        <v>0</v>
      </c>
      <c r="X188" s="32">
        <f t="shared" si="140"/>
        <v>0</v>
      </c>
      <c r="Y188" s="32">
        <f t="shared" si="141"/>
        <v>181256</v>
      </c>
      <c r="Z188" s="32">
        <f t="shared" si="134"/>
        <v>8000</v>
      </c>
      <c r="AA188" s="32">
        <f t="shared" si="134"/>
        <v>98125</v>
      </c>
      <c r="AB188" s="32">
        <f t="shared" si="134"/>
        <v>9988</v>
      </c>
      <c r="AC188" s="32">
        <f t="shared" si="142"/>
        <v>1851955</v>
      </c>
      <c r="AD188" s="32">
        <f t="shared" si="143"/>
        <v>1968068</v>
      </c>
      <c r="AE188" s="32">
        <f t="shared" si="150"/>
        <v>-554359</v>
      </c>
      <c r="AF188" s="32">
        <f t="shared" si="144"/>
        <v>-536867</v>
      </c>
      <c r="AG188" s="32">
        <f t="shared" si="151"/>
        <v>-518382</v>
      </c>
      <c r="AH188" s="32">
        <f t="shared" si="145"/>
        <v>-177204</v>
      </c>
      <c r="AI188" s="32">
        <f t="shared" si="152"/>
        <v>0</v>
      </c>
      <c r="AJ188" s="32">
        <f t="shared" si="146"/>
        <v>0</v>
      </c>
      <c r="AK188" s="7">
        <v>3873364</v>
      </c>
      <c r="AL188" s="32">
        <v>662960</v>
      </c>
      <c r="AM188" s="32">
        <v>562684</v>
      </c>
      <c r="AN188" s="7">
        <f>'Employer Allocations'!B34</f>
        <v>52192</v>
      </c>
      <c r="AO188" s="32">
        <f t="shared" si="107"/>
        <v>1468939</v>
      </c>
      <c r="AP188" s="32">
        <f t="shared" si="108"/>
        <v>2</v>
      </c>
      <c r="AS188" s="32">
        <f t="shared" si="109"/>
        <v>0</v>
      </c>
      <c r="AT188" s="32">
        <f t="shared" si="99"/>
        <v>0</v>
      </c>
      <c r="AU188" s="32">
        <f t="shared" si="110"/>
        <v>0</v>
      </c>
      <c r="AV188" s="4">
        <f t="shared" si="111"/>
        <v>0</v>
      </c>
      <c r="AW188" s="32">
        <f t="shared" si="112"/>
        <v>0</v>
      </c>
      <c r="AX188" s="4">
        <f t="shared" si="113"/>
        <v>0</v>
      </c>
      <c r="AY188" s="32">
        <f t="shared" si="114"/>
        <v>0</v>
      </c>
      <c r="AZ188" s="4">
        <f t="shared" si="115"/>
        <v>0</v>
      </c>
      <c r="BA188" s="32">
        <f t="shared" si="116"/>
        <v>0</v>
      </c>
      <c r="BB188" s="32">
        <f t="shared" si="100"/>
        <v>0</v>
      </c>
      <c r="BC188" s="32">
        <f t="shared" si="117"/>
        <v>0</v>
      </c>
      <c r="BD188" s="32">
        <f t="shared" si="118"/>
        <v>0</v>
      </c>
      <c r="BF188" s="32">
        <f t="shared" si="119"/>
        <v>1907978</v>
      </c>
      <c r="BG188" s="32">
        <f t="shared" si="101"/>
        <v>443716</v>
      </c>
      <c r="BH188" s="32">
        <f t="shared" si="120"/>
        <v>1464262</v>
      </c>
      <c r="BI188" s="4">
        <f t="shared" si="121"/>
        <v>443716</v>
      </c>
      <c r="BJ188" s="32">
        <f t="shared" si="122"/>
        <v>1020546</v>
      </c>
      <c r="BK188" s="4">
        <f t="shared" si="123"/>
        <v>443716</v>
      </c>
      <c r="BL188" s="32">
        <f t="shared" si="124"/>
        <v>576830</v>
      </c>
      <c r="BM188" s="4">
        <f t="shared" si="125"/>
        <v>443716</v>
      </c>
      <c r="BN188" s="32">
        <f t="shared" si="126"/>
        <v>133114</v>
      </c>
      <c r="BO188" s="32">
        <f t="shared" si="147"/>
        <v>133114</v>
      </c>
      <c r="BP188" s="32">
        <f t="shared" si="128"/>
        <v>0</v>
      </c>
      <c r="BQ188" s="32">
        <f t="shared" si="129"/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F188" s="4">
        <v>213160</v>
      </c>
      <c r="CG188" s="4">
        <v>40992</v>
      </c>
      <c r="CH188" s="4">
        <v>172168</v>
      </c>
      <c r="CI188" s="4">
        <v>40992</v>
      </c>
      <c r="CJ188" s="4">
        <v>131176</v>
      </c>
      <c r="CK188" s="4">
        <v>40992</v>
      </c>
      <c r="CL188" s="4">
        <v>90184</v>
      </c>
      <c r="CM188" s="4">
        <v>40992</v>
      </c>
      <c r="CN188" s="4">
        <v>49192</v>
      </c>
      <c r="CO188" s="4">
        <v>40992</v>
      </c>
      <c r="CP188" s="4">
        <v>8200</v>
      </c>
      <c r="CQ188" s="4">
        <v>8200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F188" s="4">
        <v>467515</v>
      </c>
      <c r="DG188" s="4">
        <v>85003</v>
      </c>
      <c r="DH188" s="4">
        <v>382512</v>
      </c>
      <c r="DI188" s="4">
        <v>85003</v>
      </c>
      <c r="DJ188" s="4">
        <v>297509</v>
      </c>
      <c r="DK188" s="4">
        <v>85003</v>
      </c>
      <c r="DL188" s="4">
        <v>212506</v>
      </c>
      <c r="DM188" s="4">
        <v>85003</v>
      </c>
      <c r="DN188" s="4">
        <v>127503</v>
      </c>
      <c r="DO188" s="4">
        <v>85003</v>
      </c>
      <c r="DP188" s="4">
        <v>42500</v>
      </c>
      <c r="DQ188" s="4">
        <v>42500</v>
      </c>
    </row>
    <row r="189" spans="1:121" x14ac:dyDescent="0.35">
      <c r="A189" s="85">
        <f>'2017 Prop share of contribs'!A190</f>
        <v>316</v>
      </c>
      <c r="B189" s="85" t="str">
        <f>'2017 Prop share of contribs'!B190</f>
        <v xml:space="preserve">DEPT FOR TECHNICAL EDUC  </v>
      </c>
      <c r="C189" s="25" t="s">
        <v>110</v>
      </c>
      <c r="D189" s="4">
        <f>ROUND('Employer Allocations'!G35,8)</f>
        <v>2.3562E-4</v>
      </c>
      <c r="E189" s="4">
        <f>ROUND('Employer Allocations'!H35,8)</f>
        <v>3.2944000000000002E-4</v>
      </c>
      <c r="F189" s="4">
        <f>ROUND('Employer Allocations'!I35,8)</f>
        <v>5.6506000000000004E-4</v>
      </c>
      <c r="G189" s="4">
        <v>4.8259000000000003E-4</v>
      </c>
      <c r="H189" s="4">
        <v>7.9909999999999999E-5</v>
      </c>
      <c r="I189" s="4">
        <v>5.6249999999999996E-4</v>
      </c>
      <c r="J189" s="7">
        <f t="shared" si="93"/>
        <v>6357674</v>
      </c>
      <c r="K189" s="7">
        <f t="shared" si="94"/>
        <v>8889195</v>
      </c>
      <c r="L189" s="7">
        <f t="shared" si="148"/>
        <v>15246869</v>
      </c>
      <c r="M189" s="7"/>
      <c r="N189" s="7">
        <f t="shared" si="95"/>
        <v>7880870</v>
      </c>
      <c r="O189" s="32">
        <f t="shared" si="96"/>
        <v>5662285</v>
      </c>
      <c r="P189" s="32"/>
      <c r="Q189" s="32">
        <f t="shared" si="97"/>
        <v>1085343</v>
      </c>
      <c r="R189" s="32">
        <f t="shared" si="103"/>
        <v>632774</v>
      </c>
      <c r="S189" s="32">
        <f t="shared" si="149"/>
        <v>452569</v>
      </c>
      <c r="T189" s="32">
        <f t="shared" si="139"/>
        <v>963446</v>
      </c>
      <c r="U189" s="32">
        <f t="shared" si="134"/>
        <v>34335</v>
      </c>
      <c r="V189" s="32">
        <f t="shared" si="134"/>
        <v>750153</v>
      </c>
      <c r="W189" s="32">
        <f t="shared" si="134"/>
        <v>0</v>
      </c>
      <c r="X189" s="32">
        <f t="shared" si="140"/>
        <v>4663871</v>
      </c>
      <c r="Y189" s="32">
        <f t="shared" si="141"/>
        <v>5448359</v>
      </c>
      <c r="Z189" s="32">
        <f t="shared" si="134"/>
        <v>34626</v>
      </c>
      <c r="AA189" s="32">
        <f t="shared" si="134"/>
        <v>424691</v>
      </c>
      <c r="AB189" s="32">
        <f t="shared" si="134"/>
        <v>43230</v>
      </c>
      <c r="AC189" s="32">
        <f t="shared" si="142"/>
        <v>4705033</v>
      </c>
      <c r="AD189" s="32">
        <f t="shared" si="143"/>
        <v>5207580</v>
      </c>
      <c r="AE189" s="32">
        <f t="shared" si="150"/>
        <v>577321</v>
      </c>
      <c r="AF189" s="32">
        <f t="shared" si="144"/>
        <v>653030</v>
      </c>
      <c r="AG189" s="32">
        <f t="shared" si="151"/>
        <v>-710054</v>
      </c>
      <c r="AH189" s="32">
        <f t="shared" si="145"/>
        <v>-279518</v>
      </c>
      <c r="AI189" s="32">
        <f t="shared" si="152"/>
        <v>0</v>
      </c>
      <c r="AJ189" s="32">
        <f t="shared" si="146"/>
        <v>0</v>
      </c>
      <c r="AK189" s="7">
        <v>14236457</v>
      </c>
      <c r="AL189" s="32">
        <v>9037209</v>
      </c>
      <c r="AM189" s="32">
        <v>180085</v>
      </c>
      <c r="AN189" s="7">
        <f>'Employer Allocations'!B35</f>
        <v>225885</v>
      </c>
      <c r="AO189" s="32">
        <f t="shared" si="107"/>
        <v>6357673</v>
      </c>
      <c r="AP189" s="32">
        <f t="shared" si="108"/>
        <v>1</v>
      </c>
      <c r="AS189" s="32">
        <f t="shared" si="109"/>
        <v>0</v>
      </c>
      <c r="AT189" s="32">
        <f t="shared" si="99"/>
        <v>0</v>
      </c>
      <c r="AU189" s="32">
        <f t="shared" si="110"/>
        <v>0</v>
      </c>
      <c r="AV189" s="4">
        <f t="shared" si="111"/>
        <v>0</v>
      </c>
      <c r="AW189" s="32">
        <f t="shared" si="112"/>
        <v>0</v>
      </c>
      <c r="AX189" s="4">
        <f t="shared" si="113"/>
        <v>0</v>
      </c>
      <c r="AY189" s="32">
        <f t="shared" si="114"/>
        <v>0</v>
      </c>
      <c r="AZ189" s="4">
        <f t="shared" si="115"/>
        <v>0</v>
      </c>
      <c r="BA189" s="32">
        <f t="shared" si="116"/>
        <v>0</v>
      </c>
      <c r="BB189" s="32">
        <f t="shared" si="100"/>
        <v>0</v>
      </c>
      <c r="BC189" s="32">
        <f t="shared" si="117"/>
        <v>0</v>
      </c>
      <c r="BD189" s="32">
        <f t="shared" si="118"/>
        <v>0</v>
      </c>
      <c r="BF189" s="32">
        <f t="shared" si="119"/>
        <v>6130801</v>
      </c>
      <c r="BG189" s="32">
        <f t="shared" si="101"/>
        <v>1425768</v>
      </c>
      <c r="BH189" s="32">
        <f t="shared" si="120"/>
        <v>4705033</v>
      </c>
      <c r="BI189" s="4">
        <f t="shared" si="121"/>
        <v>1425768</v>
      </c>
      <c r="BJ189" s="32">
        <f t="shared" si="122"/>
        <v>3279265</v>
      </c>
      <c r="BK189" s="4">
        <f t="shared" si="123"/>
        <v>1425768</v>
      </c>
      <c r="BL189" s="32">
        <f t="shared" si="124"/>
        <v>1853497</v>
      </c>
      <c r="BM189" s="4">
        <f t="shared" si="125"/>
        <v>1425768</v>
      </c>
      <c r="BN189" s="32">
        <f t="shared" si="126"/>
        <v>427729</v>
      </c>
      <c r="BO189" s="32">
        <f t="shared" si="147"/>
        <v>427729</v>
      </c>
      <c r="BP189" s="32">
        <f t="shared" si="128"/>
        <v>0</v>
      </c>
      <c r="BQ189" s="32">
        <f t="shared" si="129"/>
        <v>0</v>
      </c>
      <c r="BS189" s="4">
        <v>8457562</v>
      </c>
      <c r="BT189" s="4">
        <v>1626454</v>
      </c>
      <c r="BU189" s="4">
        <v>6831108</v>
      </c>
      <c r="BV189" s="4">
        <v>1626454</v>
      </c>
      <c r="BW189" s="4">
        <v>5204654</v>
      </c>
      <c r="BX189" s="4">
        <v>1626454</v>
      </c>
      <c r="BY189" s="4">
        <v>3578200</v>
      </c>
      <c r="BZ189" s="4">
        <v>1626454</v>
      </c>
      <c r="CA189" s="4">
        <v>1951746</v>
      </c>
      <c r="CB189" s="4">
        <v>1626454</v>
      </c>
      <c r="CC189" s="4">
        <v>325292</v>
      </c>
      <c r="CD189" s="4">
        <v>325292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S189" s="4">
        <v>1706053</v>
      </c>
      <c r="CT189" s="4">
        <v>310191</v>
      </c>
      <c r="CU189" s="4">
        <v>1395862</v>
      </c>
      <c r="CV189" s="4">
        <v>310191</v>
      </c>
      <c r="CW189" s="4">
        <v>1085671</v>
      </c>
      <c r="CX189" s="4">
        <v>310191</v>
      </c>
      <c r="CY189" s="4">
        <v>775480</v>
      </c>
      <c r="CZ189" s="4">
        <v>310191</v>
      </c>
      <c r="DA189" s="4">
        <v>465289</v>
      </c>
      <c r="DB189" s="4">
        <v>310191</v>
      </c>
      <c r="DC189" s="4">
        <v>155098</v>
      </c>
      <c r="DD189" s="4">
        <v>155098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  <c r="DO189" s="4">
        <v>0</v>
      </c>
      <c r="DP189" s="4">
        <v>0</v>
      </c>
      <c r="DQ189" s="4">
        <v>0</v>
      </c>
    </row>
    <row r="190" spans="1:121" x14ac:dyDescent="0.35">
      <c r="A190" s="85">
        <f>'2017 Prop share of contribs'!A191</f>
        <v>317</v>
      </c>
      <c r="B190" s="85" t="str">
        <f>'2017 Prop share of contribs'!B191</f>
        <v xml:space="preserve">OFFICE OF SEC OF WORK FORCE DEV  </v>
      </c>
      <c r="C190" s="25" t="s">
        <v>111</v>
      </c>
      <c r="D190" s="4">
        <f>ROUND('Employer Allocations'!G36,8)</f>
        <v>1.0210000000000001E-5</v>
      </c>
      <c r="E190" s="4">
        <f>ROUND('Employer Allocations'!H36,8)</f>
        <v>1.428E-5</v>
      </c>
      <c r="F190" s="4">
        <f>ROUND('Employer Allocations'!I36,8)</f>
        <v>2.4490000000000001E-5</v>
      </c>
      <c r="G190" s="4">
        <v>2.0040000000000001E-5</v>
      </c>
      <c r="H190" s="4">
        <v>3.32E-6</v>
      </c>
      <c r="I190" s="4">
        <v>2.336E-5</v>
      </c>
      <c r="J190" s="7">
        <f t="shared" si="93"/>
        <v>275494</v>
      </c>
      <c r="K190" s="7">
        <f t="shared" si="94"/>
        <v>385314</v>
      </c>
      <c r="L190" s="7">
        <f t="shared" si="148"/>
        <v>660808</v>
      </c>
      <c r="M190" s="7"/>
      <c r="N190" s="7">
        <f t="shared" si="95"/>
        <v>341498</v>
      </c>
      <c r="O190" s="32">
        <f t="shared" si="96"/>
        <v>245361</v>
      </c>
      <c r="P190" s="32"/>
      <c r="Q190" s="32">
        <f t="shared" si="97"/>
        <v>47039</v>
      </c>
      <c r="R190" s="32">
        <f t="shared" si="103"/>
        <v>27428</v>
      </c>
      <c r="S190" s="32">
        <f t="shared" si="149"/>
        <v>19611</v>
      </c>
      <c r="T190" s="32">
        <f t="shared" si="139"/>
        <v>-101727</v>
      </c>
      <c r="U190" s="32">
        <f t="shared" ref="U190:AB199" si="153">ROUND(U$2*$D190,0)</f>
        <v>1488</v>
      </c>
      <c r="V190" s="32">
        <f t="shared" si="153"/>
        <v>32506</v>
      </c>
      <c r="W190" s="32">
        <f t="shared" si="153"/>
        <v>0</v>
      </c>
      <c r="X190" s="32">
        <f t="shared" si="140"/>
        <v>437</v>
      </c>
      <c r="Y190" s="32">
        <f t="shared" si="141"/>
        <v>34431</v>
      </c>
      <c r="Z190" s="32">
        <f t="shared" si="153"/>
        <v>1500</v>
      </c>
      <c r="AA190" s="32">
        <f t="shared" si="153"/>
        <v>18403</v>
      </c>
      <c r="AB190" s="32">
        <f t="shared" si="153"/>
        <v>1873</v>
      </c>
      <c r="AC190" s="32">
        <f t="shared" si="142"/>
        <v>329641</v>
      </c>
      <c r="AD190" s="32">
        <f t="shared" si="143"/>
        <v>351417</v>
      </c>
      <c r="AE190" s="32">
        <f t="shared" si="150"/>
        <v>-118459</v>
      </c>
      <c r="AF190" s="32">
        <f t="shared" si="144"/>
        <v>-115178</v>
      </c>
      <c r="AG190" s="32">
        <f t="shared" si="151"/>
        <v>-66088</v>
      </c>
      <c r="AH190" s="32">
        <f t="shared" si="145"/>
        <v>-17261</v>
      </c>
      <c r="AI190" s="32">
        <f t="shared" si="152"/>
        <v>0</v>
      </c>
      <c r="AJ190" s="32">
        <f t="shared" si="146"/>
        <v>0</v>
      </c>
      <c r="AK190" s="7">
        <v>591182</v>
      </c>
      <c r="AL190" s="32">
        <v>101748</v>
      </c>
      <c r="AM190" s="32">
        <v>214562</v>
      </c>
      <c r="AN190" s="7">
        <f>'Employer Allocations'!B36</f>
        <v>9788</v>
      </c>
      <c r="AO190" s="32">
        <f t="shared" si="107"/>
        <v>275495</v>
      </c>
      <c r="AP190" s="32">
        <f t="shared" si="108"/>
        <v>-1</v>
      </c>
      <c r="AS190" s="32">
        <f t="shared" si="109"/>
        <v>0</v>
      </c>
      <c r="AT190" s="32">
        <f t="shared" si="99"/>
        <v>0</v>
      </c>
      <c r="AU190" s="32">
        <f t="shared" si="110"/>
        <v>0</v>
      </c>
      <c r="AV190" s="4">
        <f t="shared" si="111"/>
        <v>0</v>
      </c>
      <c r="AW190" s="32">
        <f t="shared" si="112"/>
        <v>0</v>
      </c>
      <c r="AX190" s="4">
        <f t="shared" si="113"/>
        <v>0</v>
      </c>
      <c r="AY190" s="32">
        <f t="shared" si="114"/>
        <v>0</v>
      </c>
      <c r="AZ190" s="4">
        <f t="shared" si="115"/>
        <v>0</v>
      </c>
      <c r="BA190" s="32">
        <f t="shared" si="116"/>
        <v>0</v>
      </c>
      <c r="BB190" s="32">
        <f t="shared" si="100"/>
        <v>0</v>
      </c>
      <c r="BC190" s="32">
        <f t="shared" si="117"/>
        <v>0</v>
      </c>
      <c r="BD190" s="32">
        <f t="shared" si="118"/>
        <v>0</v>
      </c>
      <c r="BF190" s="32">
        <f t="shared" si="119"/>
        <v>244021</v>
      </c>
      <c r="BG190" s="32">
        <f t="shared" si="101"/>
        <v>56749</v>
      </c>
      <c r="BH190" s="32">
        <f t="shared" si="120"/>
        <v>187272</v>
      </c>
      <c r="BI190" s="4">
        <f t="shared" si="121"/>
        <v>56749</v>
      </c>
      <c r="BJ190" s="32">
        <f t="shared" si="122"/>
        <v>130523</v>
      </c>
      <c r="BK190" s="4">
        <f t="shared" si="123"/>
        <v>56749</v>
      </c>
      <c r="BL190" s="32">
        <f t="shared" si="124"/>
        <v>73774</v>
      </c>
      <c r="BM190" s="4">
        <f t="shared" si="125"/>
        <v>56749</v>
      </c>
      <c r="BN190" s="32">
        <f t="shared" si="126"/>
        <v>17025</v>
      </c>
      <c r="BO190" s="32">
        <f t="shared" si="147"/>
        <v>17025</v>
      </c>
      <c r="BP190" s="32">
        <f t="shared" si="128"/>
        <v>0</v>
      </c>
      <c r="BQ190" s="32">
        <f t="shared" si="129"/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F190" s="4">
        <v>336511</v>
      </c>
      <c r="CG190" s="4">
        <v>64714</v>
      </c>
      <c r="CH190" s="4">
        <v>271797</v>
      </c>
      <c r="CI190" s="4">
        <v>64714</v>
      </c>
      <c r="CJ190" s="4">
        <v>207083</v>
      </c>
      <c r="CK190" s="4">
        <v>64714</v>
      </c>
      <c r="CL190" s="4">
        <v>142369</v>
      </c>
      <c r="CM190" s="4">
        <v>64714</v>
      </c>
      <c r="CN190" s="4">
        <v>77655</v>
      </c>
      <c r="CO190" s="4">
        <v>64714</v>
      </c>
      <c r="CP190" s="4">
        <v>12941</v>
      </c>
      <c r="CQ190" s="4">
        <v>12941</v>
      </c>
      <c r="CS190" s="4">
        <v>687</v>
      </c>
      <c r="CT190" s="4">
        <v>125</v>
      </c>
      <c r="CU190" s="4">
        <v>562</v>
      </c>
      <c r="CV190" s="4">
        <v>125</v>
      </c>
      <c r="CW190" s="4">
        <v>437</v>
      </c>
      <c r="CX190" s="4">
        <v>125</v>
      </c>
      <c r="CY190" s="4">
        <v>312</v>
      </c>
      <c r="CZ190" s="4">
        <v>125</v>
      </c>
      <c r="DA190" s="4">
        <v>187</v>
      </c>
      <c r="DB190" s="4">
        <v>125</v>
      </c>
      <c r="DC190" s="4">
        <v>62</v>
      </c>
      <c r="DD190" s="4">
        <v>62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  <c r="DO190" s="4">
        <v>0</v>
      </c>
      <c r="DP190" s="4">
        <v>0</v>
      </c>
      <c r="DQ190" s="4">
        <v>0</v>
      </c>
    </row>
    <row r="191" spans="1:121" x14ac:dyDescent="0.35">
      <c r="A191" s="85">
        <f>'2017 Prop share of contribs'!A192</f>
        <v>318</v>
      </c>
      <c r="B191" s="85" t="str">
        <f>'2017 Prop share of contribs'!B192</f>
        <v xml:space="preserve">DEPT FOR VOCATIONAL REHAB  </v>
      </c>
      <c r="C191" s="25" t="s">
        <v>112</v>
      </c>
      <c r="D191" s="4">
        <f>ROUND('Employer Allocations'!G37,8)</f>
        <v>1.1757899999999999E-3</v>
      </c>
      <c r="E191" s="4">
        <f>ROUND('Employer Allocations'!H37,8)</f>
        <v>1.6439899999999999E-3</v>
      </c>
      <c r="F191" s="4">
        <f>ROUND('Employer Allocations'!I37,8)</f>
        <v>2.81978E-3</v>
      </c>
      <c r="G191" s="4">
        <v>2.5292700000000001E-3</v>
      </c>
      <c r="H191" s="4">
        <v>4.1881999999999998E-4</v>
      </c>
      <c r="I191" s="4">
        <v>2.94809E-3</v>
      </c>
      <c r="J191" s="7">
        <f t="shared" si="93"/>
        <v>31726041</v>
      </c>
      <c r="K191" s="7">
        <f t="shared" si="94"/>
        <v>44359362</v>
      </c>
      <c r="L191" s="7">
        <f t="shared" si="148"/>
        <v>76085403</v>
      </c>
      <c r="M191" s="7"/>
      <c r="N191" s="7">
        <f t="shared" si="95"/>
        <v>39327087</v>
      </c>
      <c r="O191" s="32">
        <f t="shared" si="96"/>
        <v>28255911</v>
      </c>
      <c r="P191" s="32"/>
      <c r="Q191" s="32">
        <f t="shared" si="97"/>
        <v>5416114</v>
      </c>
      <c r="R191" s="32">
        <f t="shared" si="103"/>
        <v>3157706</v>
      </c>
      <c r="S191" s="32">
        <f t="shared" si="149"/>
        <v>2258408</v>
      </c>
      <c r="T191" s="32">
        <f t="shared" si="139"/>
        <v>-5609737</v>
      </c>
      <c r="U191" s="32">
        <f t="shared" si="153"/>
        <v>171340</v>
      </c>
      <c r="V191" s="32">
        <f t="shared" si="153"/>
        <v>3743413</v>
      </c>
      <c r="W191" s="32">
        <f t="shared" si="153"/>
        <v>0</v>
      </c>
      <c r="X191" s="32">
        <f t="shared" si="140"/>
        <v>827333</v>
      </c>
      <c r="Y191" s="32">
        <f t="shared" si="141"/>
        <v>4742086</v>
      </c>
      <c r="Z191" s="32">
        <f t="shared" si="153"/>
        <v>172791</v>
      </c>
      <c r="AA191" s="32">
        <f t="shared" si="153"/>
        <v>2119291</v>
      </c>
      <c r="AB191" s="32">
        <f t="shared" si="153"/>
        <v>215726</v>
      </c>
      <c r="AC191" s="32">
        <f t="shared" si="142"/>
        <v>27291983</v>
      </c>
      <c r="AD191" s="32">
        <f t="shared" si="143"/>
        <v>29799791</v>
      </c>
      <c r="AE191" s="32">
        <f t="shared" si="150"/>
        <v>-7536576</v>
      </c>
      <c r="AF191" s="32">
        <f t="shared" si="144"/>
        <v>-7158773</v>
      </c>
      <c r="AG191" s="32">
        <f t="shared" si="151"/>
        <v>-7768621</v>
      </c>
      <c r="AH191" s="32">
        <f t="shared" si="145"/>
        <v>-2593735</v>
      </c>
      <c r="AI191" s="32">
        <f t="shared" si="152"/>
        <v>0</v>
      </c>
      <c r="AJ191" s="32">
        <f t="shared" si="146"/>
        <v>0</v>
      </c>
      <c r="AK191" s="7">
        <v>74613738</v>
      </c>
      <c r="AL191" s="32">
        <v>13974182</v>
      </c>
      <c r="AM191" s="32">
        <v>2881136</v>
      </c>
      <c r="AN191" s="7">
        <f>'Employer Allocations'!B37</f>
        <v>1127210</v>
      </c>
      <c r="AO191" s="32">
        <f t="shared" si="107"/>
        <v>31726040</v>
      </c>
      <c r="AP191" s="32">
        <f t="shared" si="108"/>
        <v>1</v>
      </c>
      <c r="AS191" s="32">
        <f t="shared" si="109"/>
        <v>0</v>
      </c>
      <c r="AT191" s="32">
        <f t="shared" si="99"/>
        <v>0</v>
      </c>
      <c r="AU191" s="32">
        <f t="shared" si="110"/>
        <v>0</v>
      </c>
      <c r="AV191" s="4">
        <f t="shared" si="111"/>
        <v>0</v>
      </c>
      <c r="AW191" s="32">
        <f t="shared" si="112"/>
        <v>0</v>
      </c>
      <c r="AX191" s="4">
        <f t="shared" si="113"/>
        <v>0</v>
      </c>
      <c r="AY191" s="32">
        <f t="shared" si="114"/>
        <v>0</v>
      </c>
      <c r="AZ191" s="4">
        <f t="shared" si="115"/>
        <v>0</v>
      </c>
      <c r="BA191" s="32">
        <f t="shared" si="116"/>
        <v>0</v>
      </c>
      <c r="BB191" s="32">
        <f t="shared" si="100"/>
        <v>0</v>
      </c>
      <c r="BC191" s="32">
        <f t="shared" si="117"/>
        <v>0</v>
      </c>
      <c r="BD191" s="32">
        <f t="shared" si="118"/>
        <v>0</v>
      </c>
      <c r="BF191" s="32">
        <f t="shared" si="119"/>
        <v>33598886</v>
      </c>
      <c r="BG191" s="32">
        <f t="shared" si="101"/>
        <v>7813694</v>
      </c>
      <c r="BH191" s="32">
        <f t="shared" si="120"/>
        <v>25785192</v>
      </c>
      <c r="BI191" s="4">
        <f t="shared" si="121"/>
        <v>7813694</v>
      </c>
      <c r="BJ191" s="32">
        <f t="shared" si="122"/>
        <v>17971498</v>
      </c>
      <c r="BK191" s="4">
        <f t="shared" si="123"/>
        <v>7813694</v>
      </c>
      <c r="BL191" s="32">
        <f t="shared" si="124"/>
        <v>10157804</v>
      </c>
      <c r="BM191" s="4">
        <f t="shared" si="125"/>
        <v>7813694</v>
      </c>
      <c r="BN191" s="32">
        <f t="shared" si="126"/>
        <v>2344110</v>
      </c>
      <c r="BO191" s="32">
        <f t="shared" si="147"/>
        <v>2344110</v>
      </c>
      <c r="BP191" s="32">
        <f t="shared" si="128"/>
        <v>0</v>
      </c>
      <c r="BQ191" s="32">
        <f t="shared" si="129"/>
        <v>0</v>
      </c>
      <c r="BS191" s="4">
        <v>1955513</v>
      </c>
      <c r="BT191" s="4">
        <v>376060</v>
      </c>
      <c r="BU191" s="4">
        <v>1579453</v>
      </c>
      <c r="BV191" s="4">
        <v>376060</v>
      </c>
      <c r="BW191" s="4">
        <v>1203393</v>
      </c>
      <c r="BX191" s="4">
        <v>376060</v>
      </c>
      <c r="BY191" s="4">
        <v>827333</v>
      </c>
      <c r="BZ191" s="4">
        <v>376060</v>
      </c>
      <c r="CA191" s="4">
        <v>451273</v>
      </c>
      <c r="CB191" s="4">
        <v>376060</v>
      </c>
      <c r="CC191" s="4">
        <v>75213</v>
      </c>
      <c r="CD191" s="4">
        <v>75213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F191" s="4">
        <v>2367813</v>
      </c>
      <c r="DG191" s="4">
        <v>430511</v>
      </c>
      <c r="DH191" s="4">
        <v>1937302</v>
      </c>
      <c r="DI191" s="4">
        <v>430511</v>
      </c>
      <c r="DJ191" s="4">
        <v>1506791</v>
      </c>
      <c r="DK191" s="4">
        <v>430511</v>
      </c>
      <c r="DL191" s="4">
        <v>1076280</v>
      </c>
      <c r="DM191" s="4">
        <v>430511</v>
      </c>
      <c r="DN191" s="4">
        <v>645769</v>
      </c>
      <c r="DO191" s="4">
        <v>430511</v>
      </c>
      <c r="DP191" s="4">
        <v>215258</v>
      </c>
      <c r="DQ191" s="4">
        <v>215258</v>
      </c>
    </row>
    <row r="192" spans="1:121" x14ac:dyDescent="0.35">
      <c r="A192" s="85">
        <f>'2017 Prop share of contribs'!A193</f>
        <v>320</v>
      </c>
      <c r="B192" s="85" t="str">
        <f>'2017 Prop share of contribs'!B193</f>
        <v xml:space="preserve">KENTUCKY SCHOOL FOR THE BLIND  </v>
      </c>
      <c r="C192" s="25" t="s">
        <v>114</v>
      </c>
      <c r="D192" s="4">
        <f>ROUND('Employer Allocations'!G38,8)</f>
        <v>3.3950000000000001E-4</v>
      </c>
      <c r="E192" s="4">
        <f>ROUND('Employer Allocations'!H38,8)</f>
        <v>4.7469E-4</v>
      </c>
      <c r="F192" s="4">
        <f>ROUND('Employer Allocations'!I38,8)</f>
        <v>8.1417999999999996E-4</v>
      </c>
      <c r="G192" s="4">
        <v>7.5188000000000002E-4</v>
      </c>
      <c r="H192" s="4">
        <v>1.2449999999999999E-4</v>
      </c>
      <c r="I192" s="4">
        <v>8.7637999999999995E-4</v>
      </c>
      <c r="J192" s="7">
        <f t="shared" si="93"/>
        <v>9160642</v>
      </c>
      <c r="K192" s="7">
        <f t="shared" si="94"/>
        <v>12808439</v>
      </c>
      <c r="L192" s="7">
        <f t="shared" si="148"/>
        <v>21969081</v>
      </c>
      <c r="M192" s="7"/>
      <c r="N192" s="7">
        <f t="shared" si="95"/>
        <v>11355383</v>
      </c>
      <c r="O192" s="32">
        <f t="shared" si="96"/>
        <v>8158669</v>
      </c>
      <c r="P192" s="32"/>
      <c r="Q192" s="32">
        <f t="shared" si="97"/>
        <v>1563842</v>
      </c>
      <c r="R192" s="32">
        <f t="shared" si="103"/>
        <v>911764</v>
      </c>
      <c r="S192" s="32">
        <f t="shared" si="149"/>
        <v>652078</v>
      </c>
      <c r="T192" s="32">
        <f t="shared" si="139"/>
        <v>-1780986</v>
      </c>
      <c r="U192" s="32">
        <f t="shared" si="153"/>
        <v>49473</v>
      </c>
      <c r="V192" s="32">
        <f t="shared" si="153"/>
        <v>1080881</v>
      </c>
      <c r="W192" s="32">
        <f t="shared" si="153"/>
        <v>0</v>
      </c>
      <c r="X192" s="32">
        <f t="shared" si="140"/>
        <v>0</v>
      </c>
      <c r="Y192" s="32">
        <f t="shared" si="141"/>
        <v>1130354</v>
      </c>
      <c r="Z192" s="32">
        <f t="shared" si="153"/>
        <v>49892</v>
      </c>
      <c r="AA192" s="32">
        <f t="shared" si="153"/>
        <v>611929</v>
      </c>
      <c r="AB192" s="32">
        <f t="shared" si="153"/>
        <v>62289</v>
      </c>
      <c r="AC192" s="32">
        <f t="shared" si="142"/>
        <v>8023145</v>
      </c>
      <c r="AD192" s="32">
        <f t="shared" si="143"/>
        <v>8747255</v>
      </c>
      <c r="AE192" s="32">
        <f t="shared" si="150"/>
        <v>-2337326</v>
      </c>
      <c r="AF192" s="32">
        <f t="shared" si="144"/>
        <v>-2228239</v>
      </c>
      <c r="AG192" s="32">
        <f t="shared" si="151"/>
        <v>-2307341</v>
      </c>
      <c r="AH192" s="32">
        <f t="shared" si="145"/>
        <v>-743995</v>
      </c>
      <c r="AI192" s="32">
        <f t="shared" si="152"/>
        <v>0</v>
      </c>
      <c r="AJ192" s="32">
        <f t="shared" si="146"/>
        <v>0</v>
      </c>
      <c r="AK192" s="7">
        <v>22180541</v>
      </c>
      <c r="AL192" s="32">
        <v>3796392</v>
      </c>
      <c r="AM192" s="32">
        <v>499833</v>
      </c>
      <c r="AN192" s="7">
        <f>'Employer Allocations'!B38</f>
        <v>325471</v>
      </c>
      <c r="AO192" s="32">
        <f t="shared" si="107"/>
        <v>9160624</v>
      </c>
      <c r="AP192" s="32">
        <f t="shared" si="108"/>
        <v>18</v>
      </c>
      <c r="AS192" s="32">
        <f t="shared" si="109"/>
        <v>0</v>
      </c>
      <c r="AT192" s="32">
        <f t="shared" si="99"/>
        <v>0</v>
      </c>
      <c r="AU192" s="32">
        <f t="shared" si="110"/>
        <v>0</v>
      </c>
      <c r="AV192" s="4">
        <f t="shared" si="111"/>
        <v>0</v>
      </c>
      <c r="AW192" s="32">
        <f t="shared" si="112"/>
        <v>0</v>
      </c>
      <c r="AX192" s="4">
        <f t="shared" si="113"/>
        <v>0</v>
      </c>
      <c r="AY192" s="32">
        <f t="shared" si="114"/>
        <v>0</v>
      </c>
      <c r="AZ192" s="4">
        <f t="shared" si="115"/>
        <v>0</v>
      </c>
      <c r="BA192" s="32">
        <f t="shared" si="116"/>
        <v>0</v>
      </c>
      <c r="BB192" s="32">
        <f t="shared" si="100"/>
        <v>0</v>
      </c>
      <c r="BC192" s="32">
        <f t="shared" si="117"/>
        <v>0</v>
      </c>
      <c r="BD192" s="32">
        <f t="shared" si="118"/>
        <v>0</v>
      </c>
      <c r="BF192" s="32">
        <f t="shared" si="119"/>
        <v>10236951</v>
      </c>
      <c r="BG192" s="32">
        <f t="shared" si="101"/>
        <v>2380686</v>
      </c>
      <c r="BH192" s="32">
        <f t="shared" si="120"/>
        <v>7856265</v>
      </c>
      <c r="BI192" s="4">
        <f t="shared" si="121"/>
        <v>2380686</v>
      </c>
      <c r="BJ192" s="32">
        <f t="shared" si="122"/>
        <v>5475579</v>
      </c>
      <c r="BK192" s="4">
        <f t="shared" si="123"/>
        <v>2380686</v>
      </c>
      <c r="BL192" s="32">
        <f t="shared" si="124"/>
        <v>3094893</v>
      </c>
      <c r="BM192" s="4">
        <f t="shared" si="125"/>
        <v>2380686</v>
      </c>
      <c r="BN192" s="32">
        <f t="shared" si="126"/>
        <v>714207</v>
      </c>
      <c r="BO192" s="32">
        <f t="shared" si="147"/>
        <v>714207</v>
      </c>
      <c r="BP192" s="32">
        <f t="shared" si="128"/>
        <v>0</v>
      </c>
      <c r="BQ192" s="32">
        <f t="shared" si="129"/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F192" s="4">
        <v>65757</v>
      </c>
      <c r="CG192" s="4">
        <v>12646</v>
      </c>
      <c r="CH192" s="4">
        <v>53111</v>
      </c>
      <c r="CI192" s="4">
        <v>12646</v>
      </c>
      <c r="CJ192" s="4">
        <v>40465</v>
      </c>
      <c r="CK192" s="4">
        <v>12646</v>
      </c>
      <c r="CL192" s="4">
        <v>27819</v>
      </c>
      <c r="CM192" s="4">
        <v>12646</v>
      </c>
      <c r="CN192" s="4">
        <v>15173</v>
      </c>
      <c r="CO192" s="4">
        <v>12646</v>
      </c>
      <c r="CP192" s="4">
        <v>2527</v>
      </c>
      <c r="CQ192" s="4">
        <v>2527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F192" s="4">
        <v>218525</v>
      </c>
      <c r="DG192" s="4">
        <v>39732</v>
      </c>
      <c r="DH192" s="4">
        <v>178793</v>
      </c>
      <c r="DI192" s="4">
        <v>39732</v>
      </c>
      <c r="DJ192" s="4">
        <v>139061</v>
      </c>
      <c r="DK192" s="4">
        <v>39732</v>
      </c>
      <c r="DL192" s="4">
        <v>99329</v>
      </c>
      <c r="DM192" s="4">
        <v>39732</v>
      </c>
      <c r="DN192" s="4">
        <v>59597</v>
      </c>
      <c r="DO192" s="4">
        <v>39732</v>
      </c>
      <c r="DP192" s="4">
        <v>19865</v>
      </c>
      <c r="DQ192" s="4">
        <v>19865</v>
      </c>
    </row>
    <row r="193" spans="1:121" x14ac:dyDescent="0.35">
      <c r="A193" s="85">
        <f>'2017 Prop share of contribs'!A194</f>
        <v>330</v>
      </c>
      <c r="B193" s="85" t="str">
        <f>'2017 Prop share of contribs'!B194</f>
        <v xml:space="preserve">KENTUCKY SCHOOL FOR THE DEAF  </v>
      </c>
      <c r="C193" s="25" t="s">
        <v>115</v>
      </c>
      <c r="D193" s="4">
        <f>ROUND('Employer Allocations'!G39,8)</f>
        <v>4.7596999999999998E-4</v>
      </c>
      <c r="E193" s="4">
        <f>ROUND('Employer Allocations'!H39,8)</f>
        <v>6.6549999999999997E-4</v>
      </c>
      <c r="F193" s="4">
        <f>ROUND('Employer Allocations'!I39,8)</f>
        <v>1.1414800000000001E-3</v>
      </c>
      <c r="G193" s="4">
        <v>9.3939000000000002E-4</v>
      </c>
      <c r="H193" s="4">
        <v>1.5555000000000001E-4</v>
      </c>
      <c r="I193" s="4">
        <v>1.0949499999999999E-3</v>
      </c>
      <c r="J193" s="7">
        <f t="shared" si="93"/>
        <v>12842977</v>
      </c>
      <c r="K193" s="7">
        <f t="shared" si="94"/>
        <v>17957016</v>
      </c>
      <c r="L193" s="7">
        <f t="shared" si="148"/>
        <v>30799993</v>
      </c>
      <c r="M193" s="7"/>
      <c r="N193" s="7">
        <f t="shared" si="95"/>
        <v>15919946</v>
      </c>
      <c r="O193" s="32">
        <f t="shared" si="96"/>
        <v>11438238</v>
      </c>
      <c r="P193" s="32"/>
      <c r="Q193" s="32">
        <f t="shared" si="97"/>
        <v>2192506</v>
      </c>
      <c r="R193" s="32">
        <f t="shared" si="103"/>
        <v>1278264</v>
      </c>
      <c r="S193" s="32">
        <f t="shared" si="149"/>
        <v>914242</v>
      </c>
      <c r="T193" s="32">
        <f t="shared" si="139"/>
        <v>-2291583</v>
      </c>
      <c r="U193" s="32">
        <f t="shared" si="153"/>
        <v>69360</v>
      </c>
      <c r="V193" s="32">
        <f t="shared" si="153"/>
        <v>1515366</v>
      </c>
      <c r="W193" s="32">
        <f t="shared" si="153"/>
        <v>0</v>
      </c>
      <c r="X193" s="32">
        <f t="shared" si="140"/>
        <v>0</v>
      </c>
      <c r="Y193" s="32">
        <f t="shared" si="141"/>
        <v>1584726</v>
      </c>
      <c r="Z193" s="32">
        <f t="shared" si="153"/>
        <v>69947</v>
      </c>
      <c r="AA193" s="32">
        <f t="shared" si="153"/>
        <v>857908</v>
      </c>
      <c r="AB193" s="32">
        <f t="shared" si="153"/>
        <v>87328</v>
      </c>
      <c r="AC193" s="32">
        <f t="shared" si="142"/>
        <v>10415724</v>
      </c>
      <c r="AD193" s="32">
        <f t="shared" si="143"/>
        <v>11430907</v>
      </c>
      <c r="AE193" s="32">
        <f t="shared" si="150"/>
        <v>-3071603</v>
      </c>
      <c r="AF193" s="32">
        <f t="shared" si="144"/>
        <v>-2918665</v>
      </c>
      <c r="AG193" s="32">
        <f t="shared" si="151"/>
        <v>-2877845</v>
      </c>
      <c r="AH193" s="32">
        <f t="shared" si="145"/>
        <v>-978068</v>
      </c>
      <c r="AI193" s="32">
        <f t="shared" si="152"/>
        <v>0</v>
      </c>
      <c r="AJ193" s="32">
        <f t="shared" si="146"/>
        <v>0</v>
      </c>
      <c r="AK193" s="7">
        <v>27712106</v>
      </c>
      <c r="AL193" s="32">
        <v>4743167</v>
      </c>
      <c r="AM193" s="32">
        <v>2468124</v>
      </c>
      <c r="AN193" s="7">
        <f>'Employer Allocations'!B39</f>
        <v>456307</v>
      </c>
      <c r="AO193" s="32">
        <f t="shared" si="107"/>
        <v>12842992</v>
      </c>
      <c r="AP193" s="32">
        <f t="shared" si="108"/>
        <v>-15</v>
      </c>
      <c r="AS193" s="32">
        <f t="shared" si="109"/>
        <v>0</v>
      </c>
      <c r="AT193" s="32">
        <f t="shared" si="99"/>
        <v>0</v>
      </c>
      <c r="AU193" s="32">
        <f t="shared" si="110"/>
        <v>0</v>
      </c>
      <c r="AV193" s="4">
        <f t="shared" si="111"/>
        <v>0</v>
      </c>
      <c r="AW193" s="32">
        <f t="shared" si="112"/>
        <v>0</v>
      </c>
      <c r="AX193" s="4">
        <f t="shared" si="113"/>
        <v>0</v>
      </c>
      <c r="AY193" s="32">
        <f t="shared" si="114"/>
        <v>0</v>
      </c>
      <c r="AZ193" s="4">
        <f t="shared" si="115"/>
        <v>0</v>
      </c>
      <c r="BA193" s="32">
        <f t="shared" si="116"/>
        <v>0</v>
      </c>
      <c r="BB193" s="32">
        <f t="shared" si="100"/>
        <v>0</v>
      </c>
      <c r="BC193" s="32">
        <f t="shared" si="117"/>
        <v>0</v>
      </c>
      <c r="BD193" s="32">
        <f t="shared" si="118"/>
        <v>0</v>
      </c>
      <c r="BF193" s="32">
        <f t="shared" si="119"/>
        <v>11503972</v>
      </c>
      <c r="BG193" s="32">
        <f t="shared" si="101"/>
        <v>2675342</v>
      </c>
      <c r="BH193" s="32">
        <f t="shared" si="120"/>
        <v>8828630</v>
      </c>
      <c r="BI193" s="4">
        <f t="shared" si="121"/>
        <v>2675342</v>
      </c>
      <c r="BJ193" s="32">
        <f t="shared" si="122"/>
        <v>6153288</v>
      </c>
      <c r="BK193" s="4">
        <f t="shared" si="123"/>
        <v>2675342</v>
      </c>
      <c r="BL193" s="32">
        <f t="shared" si="124"/>
        <v>3477946</v>
      </c>
      <c r="BM193" s="4">
        <f t="shared" si="125"/>
        <v>2675342</v>
      </c>
      <c r="BN193" s="32">
        <f t="shared" si="126"/>
        <v>802604</v>
      </c>
      <c r="BO193" s="32">
        <f t="shared" si="147"/>
        <v>802604</v>
      </c>
      <c r="BP193" s="32">
        <f t="shared" si="128"/>
        <v>0</v>
      </c>
      <c r="BQ193" s="32">
        <f t="shared" si="129"/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F193" s="4">
        <v>1078379</v>
      </c>
      <c r="CG193" s="4">
        <v>207381</v>
      </c>
      <c r="CH193" s="4">
        <v>870998</v>
      </c>
      <c r="CI193" s="4">
        <v>207381</v>
      </c>
      <c r="CJ193" s="4">
        <v>663617</v>
      </c>
      <c r="CK193" s="4">
        <v>207381</v>
      </c>
      <c r="CL193" s="4">
        <v>456236</v>
      </c>
      <c r="CM193" s="4">
        <v>207381</v>
      </c>
      <c r="CN193" s="4">
        <v>248855</v>
      </c>
      <c r="CO193" s="4">
        <v>207381</v>
      </c>
      <c r="CP193" s="4">
        <v>41474</v>
      </c>
      <c r="CQ193" s="4">
        <v>41474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F193" s="4">
        <v>1777062</v>
      </c>
      <c r="DG193" s="4">
        <v>323102</v>
      </c>
      <c r="DH193" s="4">
        <v>1453960</v>
      </c>
      <c r="DI193" s="4">
        <v>323102</v>
      </c>
      <c r="DJ193" s="4">
        <v>1130858</v>
      </c>
      <c r="DK193" s="4">
        <v>323102</v>
      </c>
      <c r="DL193" s="4">
        <v>807756</v>
      </c>
      <c r="DM193" s="4">
        <v>323102</v>
      </c>
      <c r="DN193" s="4">
        <v>484654</v>
      </c>
      <c r="DO193" s="4">
        <v>323102</v>
      </c>
      <c r="DP193" s="4">
        <v>161552</v>
      </c>
      <c r="DQ193" s="4">
        <v>161552</v>
      </c>
    </row>
    <row r="194" spans="1:121" x14ac:dyDescent="0.35">
      <c r="A194" s="85">
        <f>'2017 Prop share of contribs'!A195</f>
        <v>345</v>
      </c>
      <c r="B194" s="85" t="str">
        <f>'2017 Prop share of contribs'!B195</f>
        <v xml:space="preserve">EDUCATION ADMINISTRATION  </v>
      </c>
      <c r="C194" s="25" t="s">
        <v>116</v>
      </c>
      <c r="D194" s="4">
        <f>ROUND('Employer Allocations'!G40,8)</f>
        <v>1.9185999999999999E-3</v>
      </c>
      <c r="E194" s="4">
        <f>ROUND('Employer Allocations'!H40,8)</f>
        <v>2.6825799999999999E-3</v>
      </c>
      <c r="F194" s="4">
        <f>ROUND('Employer Allocations'!I40,8)</f>
        <v>4.6011799999999999E-3</v>
      </c>
      <c r="G194" s="4">
        <v>3.72011E-3</v>
      </c>
      <c r="H194" s="4">
        <v>6.1600999999999995E-4</v>
      </c>
      <c r="I194" s="4">
        <v>4.3361199999999997E-3</v>
      </c>
      <c r="J194" s="7">
        <f t="shared" si="93"/>
        <v>51769093</v>
      </c>
      <c r="K194" s="7">
        <f t="shared" si="94"/>
        <v>72383370</v>
      </c>
      <c r="L194" s="7">
        <f t="shared" si="148"/>
        <v>124152463</v>
      </c>
      <c r="M194" s="7"/>
      <c r="N194" s="7">
        <f>ROUND($N$2*D194,0)+3</f>
        <v>64172134</v>
      </c>
      <c r="O194" s="32">
        <f>ROUND($O$2*D194,0)+1</f>
        <v>46106695</v>
      </c>
      <c r="P194" s="32"/>
      <c r="Q194" s="32">
        <f t="shared" si="97"/>
        <v>8837752</v>
      </c>
      <c r="R194" s="32">
        <f t="shared" si="103"/>
        <v>5152586</v>
      </c>
      <c r="S194" s="32">
        <f t="shared" si="149"/>
        <v>3685166</v>
      </c>
      <c r="T194" s="32">
        <f t="shared" si="139"/>
        <v>-6743620</v>
      </c>
      <c r="U194" s="32">
        <f t="shared" si="153"/>
        <v>279585</v>
      </c>
      <c r="V194" s="32">
        <f t="shared" si="153"/>
        <v>6108328</v>
      </c>
      <c r="W194" s="32">
        <f t="shared" si="153"/>
        <v>0</v>
      </c>
      <c r="X194" s="32">
        <f t="shared" si="140"/>
        <v>485738</v>
      </c>
      <c r="Y194" s="32">
        <f t="shared" si="141"/>
        <v>6873651</v>
      </c>
      <c r="Z194" s="32">
        <f t="shared" si="153"/>
        <v>281953</v>
      </c>
      <c r="AA194" s="32">
        <f t="shared" si="153"/>
        <v>3458162</v>
      </c>
      <c r="AB194" s="32">
        <f t="shared" si="153"/>
        <v>352012</v>
      </c>
      <c r="AC194" s="32">
        <f t="shared" si="142"/>
        <v>35193476</v>
      </c>
      <c r="AD194" s="32">
        <f t="shared" si="143"/>
        <v>39285603</v>
      </c>
      <c r="AE194" s="32">
        <f t="shared" si="150"/>
        <v>-9887747</v>
      </c>
      <c r="AF194" s="32">
        <f t="shared" si="144"/>
        <v>-9271266</v>
      </c>
      <c r="AG194" s="32">
        <f t="shared" si="151"/>
        <v>-9952112</v>
      </c>
      <c r="AH194" s="32">
        <f t="shared" si="145"/>
        <v>-3300827</v>
      </c>
      <c r="AI194" s="32">
        <f t="shared" si="152"/>
        <v>0</v>
      </c>
      <c r="AJ194" s="32">
        <f t="shared" si="146"/>
        <v>0</v>
      </c>
      <c r="AK194" s="7">
        <v>109743646</v>
      </c>
      <c r="AL194" s="32">
        <v>19490106</v>
      </c>
      <c r="AM194" s="32">
        <v>2510449</v>
      </c>
      <c r="AN194" s="7">
        <f>'Employer Allocations'!B40</f>
        <v>1839328</v>
      </c>
      <c r="AO194" s="32">
        <f t="shared" si="107"/>
        <v>51769089</v>
      </c>
      <c r="AP194" s="32">
        <f t="shared" si="108"/>
        <v>4</v>
      </c>
      <c r="AS194" s="32">
        <f t="shared" si="109"/>
        <v>0</v>
      </c>
      <c r="AT194" s="32">
        <f t="shared" si="99"/>
        <v>0</v>
      </c>
      <c r="AU194" s="32">
        <f t="shared" si="110"/>
        <v>0</v>
      </c>
      <c r="AV194" s="4">
        <f t="shared" si="111"/>
        <v>0</v>
      </c>
      <c r="AW194" s="32">
        <f t="shared" si="112"/>
        <v>0</v>
      </c>
      <c r="AX194" s="4">
        <f t="shared" si="113"/>
        <v>0</v>
      </c>
      <c r="AY194" s="32">
        <f t="shared" si="114"/>
        <v>0</v>
      </c>
      <c r="AZ194" s="4">
        <f t="shared" si="115"/>
        <v>0</v>
      </c>
      <c r="BA194" s="32">
        <f t="shared" si="116"/>
        <v>0</v>
      </c>
      <c r="BB194" s="32">
        <f t="shared" si="100"/>
        <v>0</v>
      </c>
      <c r="BC194" s="32">
        <f t="shared" si="117"/>
        <v>0</v>
      </c>
      <c r="BD194" s="32">
        <f t="shared" si="118"/>
        <v>0</v>
      </c>
      <c r="BF194" s="32">
        <f t="shared" si="119"/>
        <v>44720815</v>
      </c>
      <c r="BG194" s="32">
        <f t="shared" si="101"/>
        <v>10400190</v>
      </c>
      <c r="BH194" s="32">
        <f t="shared" si="120"/>
        <v>34320625</v>
      </c>
      <c r="BI194" s="4">
        <f t="shared" si="121"/>
        <v>10400190</v>
      </c>
      <c r="BJ194" s="32">
        <f t="shared" si="122"/>
        <v>23920435</v>
      </c>
      <c r="BK194" s="4">
        <f t="shared" si="123"/>
        <v>10400190</v>
      </c>
      <c r="BL194" s="32">
        <f t="shared" si="124"/>
        <v>13520245</v>
      </c>
      <c r="BM194" s="4">
        <f t="shared" si="125"/>
        <v>10400190</v>
      </c>
      <c r="BN194" s="32">
        <f t="shared" si="126"/>
        <v>3120055</v>
      </c>
      <c r="BO194" s="32">
        <f t="shared" si="147"/>
        <v>3120055</v>
      </c>
      <c r="BP194" s="32">
        <f t="shared" si="128"/>
        <v>0</v>
      </c>
      <c r="BQ194" s="32">
        <f t="shared" si="129"/>
        <v>0</v>
      </c>
      <c r="BS194" s="4">
        <v>1148108</v>
      </c>
      <c r="BT194" s="4">
        <v>220790</v>
      </c>
      <c r="BU194" s="4">
        <v>927318</v>
      </c>
      <c r="BV194" s="4">
        <v>220790</v>
      </c>
      <c r="BW194" s="4">
        <v>706528</v>
      </c>
      <c r="BX194" s="4">
        <v>220790</v>
      </c>
      <c r="BY194" s="4">
        <v>485738</v>
      </c>
      <c r="BZ194" s="4">
        <v>220790</v>
      </c>
      <c r="CA194" s="4">
        <v>264948</v>
      </c>
      <c r="CB194" s="4">
        <v>220790</v>
      </c>
      <c r="CC194" s="4">
        <v>44158</v>
      </c>
      <c r="CD194" s="4">
        <v>44158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F194" s="4">
        <v>1371623</v>
      </c>
      <c r="DG194" s="4">
        <v>249386</v>
      </c>
      <c r="DH194" s="4">
        <v>1122237</v>
      </c>
      <c r="DI194" s="4">
        <v>249386</v>
      </c>
      <c r="DJ194" s="4">
        <v>872851</v>
      </c>
      <c r="DK194" s="4">
        <v>249386</v>
      </c>
      <c r="DL194" s="4">
        <v>623465</v>
      </c>
      <c r="DM194" s="4">
        <v>249386</v>
      </c>
      <c r="DN194" s="4">
        <v>374079</v>
      </c>
      <c r="DO194" s="4">
        <v>249386</v>
      </c>
      <c r="DP194" s="4">
        <v>124693</v>
      </c>
      <c r="DQ194" s="4">
        <v>124693</v>
      </c>
    </row>
    <row r="195" spans="1:121" x14ac:dyDescent="0.35">
      <c r="A195" s="87">
        <f>'2017 Prop share of contribs'!A196</f>
        <v>400</v>
      </c>
      <c r="B195" s="86" t="str">
        <f>'2017 Prop share of contribs'!B196</f>
        <v xml:space="preserve">KCTCS CENTRAL OFFICE  </v>
      </c>
      <c r="C195" s="25" t="s">
        <v>98</v>
      </c>
      <c r="D195" s="39">
        <f>ROUND('Employer Allocations'!G19,8)+0.00000001</f>
        <v>2.2775E-3</v>
      </c>
      <c r="E195" s="4">
        <f>ROUND('Employer Allocations'!H19,8)</f>
        <v>3.1843800000000001E-3</v>
      </c>
      <c r="F195" s="39">
        <f>ROUND('Employer Allocations'!I19,8)-0.00000001</f>
        <v>5.4618599999999998E-3</v>
      </c>
      <c r="G195" s="4">
        <v>5.1146400000000002E-3</v>
      </c>
      <c r="H195" s="4">
        <v>8.4694000000000002E-4</v>
      </c>
      <c r="I195" s="4">
        <v>5.9615800000000002E-3</v>
      </c>
      <c r="J195" s="7">
        <f>ROUND($J$2*D195,0)-1</f>
        <v>61453199</v>
      </c>
      <c r="K195" s="7">
        <f t="shared" si="94"/>
        <v>85923311</v>
      </c>
      <c r="L195" s="7">
        <f t="shared" si="148"/>
        <v>147376510</v>
      </c>
      <c r="M195" s="7"/>
      <c r="N195" s="7">
        <f t="shared" si="95"/>
        <v>76176393</v>
      </c>
      <c r="O195" s="32">
        <f t="shared" si="96"/>
        <v>54731573</v>
      </c>
      <c r="P195" s="32"/>
      <c r="Q195" s="32">
        <f t="shared" si="97"/>
        <v>10490909</v>
      </c>
      <c r="R195" s="32">
        <f t="shared" si="103"/>
        <v>6116422</v>
      </c>
      <c r="S195" s="32">
        <f t="shared" si="149"/>
        <v>4374487</v>
      </c>
      <c r="T195" s="32">
        <f t="shared" si="139"/>
        <v>-17215526</v>
      </c>
      <c r="U195" s="32">
        <f t="shared" si="153"/>
        <v>331885</v>
      </c>
      <c r="V195" s="32">
        <f t="shared" si="153"/>
        <v>7250974</v>
      </c>
      <c r="W195" s="32">
        <f t="shared" si="153"/>
        <v>0</v>
      </c>
      <c r="X195" s="32">
        <f t="shared" si="140"/>
        <v>0</v>
      </c>
      <c r="Y195" s="32">
        <f t="shared" si="141"/>
        <v>7582859</v>
      </c>
      <c r="Z195" s="32">
        <f t="shared" si="153"/>
        <v>334696</v>
      </c>
      <c r="AA195" s="32">
        <f t="shared" si="153"/>
        <v>4105058</v>
      </c>
      <c r="AB195" s="32">
        <f t="shared" si="153"/>
        <v>417861</v>
      </c>
      <c r="AC195" s="32">
        <f t="shared" si="142"/>
        <v>69087830</v>
      </c>
      <c r="AD195" s="32">
        <f t="shared" si="143"/>
        <v>73945445</v>
      </c>
      <c r="AE195" s="32">
        <f t="shared" si="150"/>
        <v>-20947766</v>
      </c>
      <c r="AF195" s="32">
        <f t="shared" si="144"/>
        <v>-20215963</v>
      </c>
      <c r="AG195" s="32">
        <f t="shared" si="151"/>
        <v>-18844384</v>
      </c>
      <c r="AH195" s="32">
        <f t="shared" si="145"/>
        <v>-6354473</v>
      </c>
      <c r="AI195" s="32">
        <f t="shared" si="152"/>
        <v>0</v>
      </c>
      <c r="AJ195" s="32">
        <f t="shared" si="146"/>
        <v>0</v>
      </c>
      <c r="AK195" s="7">
        <v>150882433</v>
      </c>
      <c r="AL195" s="32">
        <v>25824837</v>
      </c>
      <c r="AM195" s="32">
        <v>22157075</v>
      </c>
      <c r="AN195" s="7">
        <f>'Employer Allocations'!B19</f>
        <v>2183386</v>
      </c>
      <c r="AO195" s="32">
        <f t="shared" si="107"/>
        <v>61453173</v>
      </c>
      <c r="AP195" s="32">
        <f t="shared" si="108"/>
        <v>26</v>
      </c>
      <c r="AS195" s="32">
        <f t="shared" si="109"/>
        <v>0</v>
      </c>
      <c r="AT195" s="32">
        <f t="shared" si="99"/>
        <v>0</v>
      </c>
      <c r="AU195" s="32">
        <f t="shared" si="110"/>
        <v>0</v>
      </c>
      <c r="AV195" s="4">
        <f t="shared" si="111"/>
        <v>0</v>
      </c>
      <c r="AW195" s="32">
        <f t="shared" si="112"/>
        <v>0</v>
      </c>
      <c r="AX195" s="4">
        <f t="shared" si="113"/>
        <v>0</v>
      </c>
      <c r="AY195" s="32">
        <f t="shared" si="114"/>
        <v>0</v>
      </c>
      <c r="AZ195" s="4">
        <f t="shared" si="115"/>
        <v>0</v>
      </c>
      <c r="BA195" s="32">
        <f t="shared" si="116"/>
        <v>0</v>
      </c>
      <c r="BB195" s="32">
        <f t="shared" si="100"/>
        <v>0</v>
      </c>
      <c r="BC195" s="32">
        <f t="shared" si="117"/>
        <v>0</v>
      </c>
      <c r="BD195" s="32">
        <f t="shared" si="118"/>
        <v>0</v>
      </c>
      <c r="BF195" s="32">
        <f t="shared" si="119"/>
        <v>70429370</v>
      </c>
      <c r="BG195" s="32">
        <f t="shared" si="101"/>
        <v>16378923</v>
      </c>
      <c r="BH195" s="32">
        <f t="shared" si="120"/>
        <v>54050447</v>
      </c>
      <c r="BI195" s="4">
        <f t="shared" si="121"/>
        <v>16378923</v>
      </c>
      <c r="BJ195" s="32">
        <f t="shared" si="122"/>
        <v>37671524</v>
      </c>
      <c r="BK195" s="4">
        <f t="shared" si="123"/>
        <v>16378923</v>
      </c>
      <c r="BL195" s="32">
        <f t="shared" si="124"/>
        <v>21292601</v>
      </c>
      <c r="BM195" s="4">
        <f t="shared" si="125"/>
        <v>16378923</v>
      </c>
      <c r="BN195" s="32">
        <f t="shared" si="126"/>
        <v>4913678</v>
      </c>
      <c r="BO195" s="32">
        <f t="shared" si="147"/>
        <v>4913678</v>
      </c>
      <c r="BP195" s="32">
        <f t="shared" si="128"/>
        <v>0</v>
      </c>
      <c r="BQ195" s="32">
        <f t="shared" si="129"/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F195" s="4">
        <v>12805721</v>
      </c>
      <c r="CG195" s="4">
        <v>2462639</v>
      </c>
      <c r="CH195" s="4">
        <v>10343082</v>
      </c>
      <c r="CI195" s="4">
        <v>2462639</v>
      </c>
      <c r="CJ195" s="4">
        <v>7880443</v>
      </c>
      <c r="CK195" s="4">
        <v>2462639</v>
      </c>
      <c r="CL195" s="4">
        <v>5417804</v>
      </c>
      <c r="CM195" s="4">
        <v>2462639</v>
      </c>
      <c r="CN195" s="4">
        <v>2955165</v>
      </c>
      <c r="CO195" s="4">
        <v>2462639</v>
      </c>
      <c r="CP195" s="4">
        <v>492526</v>
      </c>
      <c r="CQ195" s="4">
        <v>492526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F195" s="4">
        <v>15116481</v>
      </c>
      <c r="DG195" s="4">
        <v>2748451</v>
      </c>
      <c r="DH195" s="4">
        <v>12368030</v>
      </c>
      <c r="DI195" s="4">
        <v>2748451</v>
      </c>
      <c r="DJ195" s="4">
        <v>9619579</v>
      </c>
      <c r="DK195" s="4">
        <v>2748451</v>
      </c>
      <c r="DL195" s="4">
        <v>6871128</v>
      </c>
      <c r="DM195" s="4">
        <v>2748451</v>
      </c>
      <c r="DN195" s="4">
        <v>4122677</v>
      </c>
      <c r="DO195" s="4">
        <v>2748451</v>
      </c>
      <c r="DP195" s="4">
        <v>1374226</v>
      </c>
      <c r="DQ195" s="4">
        <v>1374226</v>
      </c>
    </row>
    <row r="196" spans="1:121" x14ac:dyDescent="0.35">
      <c r="A196" s="85">
        <f>'2017 Prop share of contribs'!A199</f>
        <v>728</v>
      </c>
      <c r="B196" s="85" t="str">
        <f>'2017 Prop share of contribs'!B199</f>
        <v xml:space="preserve">DEPARTMENT OF CORRECTIONS  </v>
      </c>
      <c r="C196" s="25" t="s">
        <v>113</v>
      </c>
      <c r="D196" s="4">
        <f>ROUND('Employer Allocations'!G41,8)</f>
        <v>9.5599999999999999E-6</v>
      </c>
      <c r="E196" s="4">
        <f>ROUND('Employer Allocations'!H41,8)</f>
        <v>1.3360000000000001E-5</v>
      </c>
      <c r="F196" s="4">
        <f>ROUND('Employer Allocations'!I41,8)</f>
        <v>2.2920000000000001E-5</v>
      </c>
      <c r="G196" s="4">
        <v>1.6509999999999999E-5</v>
      </c>
      <c r="H196" s="4">
        <v>2.7300000000000001E-6</v>
      </c>
      <c r="I196" s="4">
        <v>1.9239999999999999E-5</v>
      </c>
      <c r="J196" s="7">
        <f t="shared" si="93"/>
        <v>257955</v>
      </c>
      <c r="K196" s="7">
        <f t="shared" si="94"/>
        <v>360489</v>
      </c>
      <c r="L196" s="7">
        <f t="shared" si="148"/>
        <v>618444</v>
      </c>
      <c r="M196" s="7"/>
      <c r="N196" s="7">
        <f t="shared" si="95"/>
        <v>319757</v>
      </c>
      <c r="O196" s="32">
        <f t="shared" si="96"/>
        <v>229740</v>
      </c>
      <c r="P196" s="32"/>
      <c r="Q196" s="32">
        <f t="shared" si="97"/>
        <v>44024</v>
      </c>
      <c r="R196" s="32">
        <f t="shared" si="103"/>
        <v>25661</v>
      </c>
      <c r="S196" s="32">
        <f t="shared" si="149"/>
        <v>18363</v>
      </c>
      <c r="T196" s="32">
        <f t="shared" si="139"/>
        <v>-45089</v>
      </c>
      <c r="U196" s="32">
        <f t="shared" si="153"/>
        <v>1393</v>
      </c>
      <c r="V196" s="32">
        <f t="shared" si="153"/>
        <v>30437</v>
      </c>
      <c r="W196" s="32">
        <f t="shared" si="153"/>
        <v>0</v>
      </c>
      <c r="X196" s="32">
        <f t="shared" si="140"/>
        <v>29590</v>
      </c>
      <c r="Y196" s="32">
        <f t="shared" si="141"/>
        <v>61420</v>
      </c>
      <c r="Z196" s="32">
        <f t="shared" si="153"/>
        <v>1405</v>
      </c>
      <c r="AA196" s="32">
        <f t="shared" si="153"/>
        <v>17231</v>
      </c>
      <c r="AB196" s="32">
        <f t="shared" si="153"/>
        <v>1754</v>
      </c>
      <c r="AC196" s="32">
        <f t="shared" si="142"/>
        <v>202328</v>
      </c>
      <c r="AD196" s="32">
        <f t="shared" si="143"/>
        <v>222718</v>
      </c>
      <c r="AE196" s="32">
        <f t="shared" si="150"/>
        <v>-60756</v>
      </c>
      <c r="AF196" s="32">
        <f t="shared" si="144"/>
        <v>-57684</v>
      </c>
      <c r="AG196" s="32">
        <f t="shared" si="151"/>
        <v>-34769</v>
      </c>
      <c r="AH196" s="32">
        <f t="shared" si="145"/>
        <v>-8089</v>
      </c>
      <c r="AI196" s="32">
        <f t="shared" si="152"/>
        <v>0</v>
      </c>
      <c r="AJ196" s="32">
        <f t="shared" si="146"/>
        <v>0</v>
      </c>
      <c r="AK196" s="7">
        <v>487047</v>
      </c>
      <c r="AL196" s="32">
        <v>121407</v>
      </c>
      <c r="AM196" s="32">
        <v>107869</v>
      </c>
      <c r="AN196" s="7">
        <f>'Employer Allocations'!B41</f>
        <v>9163</v>
      </c>
      <c r="AO196" s="32">
        <f t="shared" si="107"/>
        <v>257959</v>
      </c>
      <c r="AP196" s="32">
        <f t="shared" si="108"/>
        <v>-4</v>
      </c>
      <c r="AS196" s="32">
        <f t="shared" si="109"/>
        <v>0</v>
      </c>
      <c r="AT196" s="32">
        <f t="shared" si="99"/>
        <v>0</v>
      </c>
      <c r="AU196" s="32">
        <f t="shared" si="110"/>
        <v>0</v>
      </c>
      <c r="AV196" s="4">
        <f t="shared" si="111"/>
        <v>0</v>
      </c>
      <c r="AW196" s="32">
        <f t="shared" si="112"/>
        <v>0</v>
      </c>
      <c r="AX196" s="4">
        <f t="shared" si="113"/>
        <v>0</v>
      </c>
      <c r="AY196" s="32">
        <f t="shared" si="114"/>
        <v>0</v>
      </c>
      <c r="AZ196" s="4">
        <f t="shared" si="115"/>
        <v>0</v>
      </c>
      <c r="BA196" s="32">
        <f t="shared" si="116"/>
        <v>0</v>
      </c>
      <c r="BB196" s="32">
        <f t="shared" si="100"/>
        <v>0</v>
      </c>
      <c r="BC196" s="32">
        <f t="shared" si="117"/>
        <v>0</v>
      </c>
      <c r="BD196" s="32">
        <f t="shared" si="118"/>
        <v>0</v>
      </c>
      <c r="BF196" s="32">
        <f t="shared" si="119"/>
        <v>172527</v>
      </c>
      <c r="BG196" s="32">
        <f t="shared" si="101"/>
        <v>40123</v>
      </c>
      <c r="BH196" s="32">
        <f t="shared" si="120"/>
        <v>132404</v>
      </c>
      <c r="BI196" s="4">
        <f t="shared" si="121"/>
        <v>40123</v>
      </c>
      <c r="BJ196" s="32">
        <f t="shared" si="122"/>
        <v>92281</v>
      </c>
      <c r="BK196" s="4">
        <f t="shared" si="123"/>
        <v>40123</v>
      </c>
      <c r="BL196" s="32">
        <f t="shared" si="124"/>
        <v>52158</v>
      </c>
      <c r="BM196" s="4">
        <f t="shared" si="125"/>
        <v>40123</v>
      </c>
      <c r="BN196" s="32">
        <f t="shared" si="126"/>
        <v>12035</v>
      </c>
      <c r="BO196" s="32">
        <f t="shared" si="147"/>
        <v>12035</v>
      </c>
      <c r="BP196" s="32">
        <f t="shared" si="128"/>
        <v>0</v>
      </c>
      <c r="BQ196" s="32">
        <f t="shared" si="129"/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F196" s="4">
        <v>165276</v>
      </c>
      <c r="CG196" s="4">
        <v>31784</v>
      </c>
      <c r="CH196" s="4">
        <v>133492</v>
      </c>
      <c r="CI196" s="4">
        <v>31784</v>
      </c>
      <c r="CJ196" s="4">
        <v>101708</v>
      </c>
      <c r="CK196" s="4">
        <v>31784</v>
      </c>
      <c r="CL196" s="4">
        <v>69924</v>
      </c>
      <c r="CM196" s="4">
        <v>31784</v>
      </c>
      <c r="CN196" s="4">
        <v>38140</v>
      </c>
      <c r="CO196" s="4">
        <v>31784</v>
      </c>
      <c r="CP196" s="4">
        <v>6356</v>
      </c>
      <c r="CQ196" s="4">
        <v>6356</v>
      </c>
      <c r="CS196" s="4">
        <v>46500</v>
      </c>
      <c r="CT196" s="4">
        <v>8455</v>
      </c>
      <c r="CU196" s="4">
        <v>38045</v>
      </c>
      <c r="CV196" s="4">
        <v>8455</v>
      </c>
      <c r="CW196" s="4">
        <v>29590</v>
      </c>
      <c r="CX196" s="4">
        <v>8455</v>
      </c>
      <c r="CY196" s="4">
        <v>21135</v>
      </c>
      <c r="CZ196" s="4">
        <v>8455</v>
      </c>
      <c r="DA196" s="4">
        <v>12680</v>
      </c>
      <c r="DB196" s="4">
        <v>8455</v>
      </c>
      <c r="DC196" s="4">
        <v>4225</v>
      </c>
      <c r="DD196" s="4">
        <v>4225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  <c r="DO196" s="4">
        <v>0</v>
      </c>
      <c r="DP196" s="4">
        <v>0</v>
      </c>
      <c r="DQ196" s="4">
        <v>0</v>
      </c>
    </row>
    <row r="197" spans="1:121" x14ac:dyDescent="0.35">
      <c r="A197" s="87">
        <f>'2017 Prop share of contribs'!A200</f>
        <v>801</v>
      </c>
      <c r="B197" s="86" t="str">
        <f>'2017 Prop share of contribs'!B200</f>
        <v xml:space="preserve">KY HIGH SCHOOL ATHLETIC ASSN  </v>
      </c>
      <c r="C197" s="25" t="s">
        <v>100</v>
      </c>
      <c r="D197" s="4">
        <f>ROUND('Employer Allocations'!G20,8)</f>
        <v>8.8179999999999999E-5</v>
      </c>
      <c r="E197" s="4">
        <f>ROUND('Employer Allocations'!H20,8)</f>
        <v>1.2329999999999999E-4</v>
      </c>
      <c r="F197" s="4">
        <f>ROUND('Employer Allocations'!I20,8)</f>
        <v>2.1148E-4</v>
      </c>
      <c r="G197" s="4">
        <v>1.6509000000000001E-4</v>
      </c>
      <c r="H197" s="4">
        <v>2.7339999999999999E-5</v>
      </c>
      <c r="I197" s="4">
        <v>1.9243E-4</v>
      </c>
      <c r="J197" s="7">
        <f t="shared" si="93"/>
        <v>2379338</v>
      </c>
      <c r="K197" s="7">
        <f t="shared" si="94"/>
        <v>3326972</v>
      </c>
      <c r="L197" s="7">
        <f t="shared" si="148"/>
        <v>5706310</v>
      </c>
      <c r="M197" s="7"/>
      <c r="N197" s="7">
        <f t="shared" si="95"/>
        <v>2949389</v>
      </c>
      <c r="O197" s="32">
        <f t="shared" si="96"/>
        <v>2119091</v>
      </c>
      <c r="P197" s="32"/>
      <c r="Q197" s="32">
        <f t="shared" si="97"/>
        <v>406202</v>
      </c>
      <c r="R197" s="32">
        <f t="shared" si="103"/>
        <v>236829</v>
      </c>
      <c r="S197" s="32">
        <f t="shared" si="149"/>
        <v>169373</v>
      </c>
      <c r="T197" s="32">
        <f t="shared" si="139"/>
        <v>-273518</v>
      </c>
      <c r="U197" s="32">
        <f t="shared" si="153"/>
        <v>12850</v>
      </c>
      <c r="V197" s="32">
        <f t="shared" si="153"/>
        <v>280742</v>
      </c>
      <c r="W197" s="32">
        <f t="shared" si="153"/>
        <v>0</v>
      </c>
      <c r="X197" s="32">
        <f t="shared" si="140"/>
        <v>28287</v>
      </c>
      <c r="Y197" s="32">
        <f t="shared" si="141"/>
        <v>321879</v>
      </c>
      <c r="Z197" s="32">
        <f t="shared" si="153"/>
        <v>12959</v>
      </c>
      <c r="AA197" s="32">
        <f t="shared" si="153"/>
        <v>158939</v>
      </c>
      <c r="AB197" s="32">
        <f t="shared" si="153"/>
        <v>16179</v>
      </c>
      <c r="AC197" s="32">
        <f t="shared" si="142"/>
        <v>1506320</v>
      </c>
      <c r="AD197" s="32">
        <f t="shared" si="143"/>
        <v>1694397</v>
      </c>
      <c r="AE197" s="32">
        <f t="shared" si="150"/>
        <v>-418025</v>
      </c>
      <c r="AF197" s="32">
        <f t="shared" si="144"/>
        <v>-389691</v>
      </c>
      <c r="AG197" s="32">
        <f t="shared" si="151"/>
        <v>-423152</v>
      </c>
      <c r="AH197" s="32">
        <f t="shared" si="145"/>
        <v>-141650</v>
      </c>
      <c r="AI197" s="32">
        <f t="shared" si="152"/>
        <v>0</v>
      </c>
      <c r="AJ197" s="32">
        <f t="shared" si="146"/>
        <v>0</v>
      </c>
      <c r="AK197" s="7">
        <v>4870173</v>
      </c>
      <c r="AL197" s="32">
        <v>874718</v>
      </c>
      <c r="AM197" s="32">
        <v>114456</v>
      </c>
      <c r="AN197" s="7">
        <f>'Employer Allocations'!B20</f>
        <v>84540</v>
      </c>
      <c r="AO197" s="32">
        <f t="shared" si="107"/>
        <v>2379335</v>
      </c>
      <c r="AP197" s="32">
        <f t="shared" si="108"/>
        <v>3</v>
      </c>
      <c r="AS197" s="32">
        <f t="shared" si="109"/>
        <v>0</v>
      </c>
      <c r="AT197" s="32">
        <f t="shared" si="99"/>
        <v>0</v>
      </c>
      <c r="AU197" s="32">
        <f t="shared" si="110"/>
        <v>0</v>
      </c>
      <c r="AV197" s="4">
        <f t="shared" si="111"/>
        <v>0</v>
      </c>
      <c r="AW197" s="32">
        <f t="shared" si="112"/>
        <v>0</v>
      </c>
      <c r="AX197" s="4">
        <f t="shared" si="113"/>
        <v>0</v>
      </c>
      <c r="AY197" s="32">
        <f t="shared" si="114"/>
        <v>0</v>
      </c>
      <c r="AZ197" s="4">
        <f t="shared" si="115"/>
        <v>0</v>
      </c>
      <c r="BA197" s="32">
        <f t="shared" si="116"/>
        <v>0</v>
      </c>
      <c r="BB197" s="32">
        <f t="shared" si="100"/>
        <v>0</v>
      </c>
      <c r="BC197" s="32">
        <f t="shared" si="117"/>
        <v>0</v>
      </c>
      <c r="BD197" s="32">
        <f t="shared" si="118"/>
        <v>0</v>
      </c>
      <c r="BF197" s="32">
        <f t="shared" si="119"/>
        <v>1909219</v>
      </c>
      <c r="BG197" s="32">
        <f t="shared" si="101"/>
        <v>444004</v>
      </c>
      <c r="BH197" s="32">
        <f t="shared" si="120"/>
        <v>1465215</v>
      </c>
      <c r="BI197" s="4">
        <f t="shared" si="121"/>
        <v>444004</v>
      </c>
      <c r="BJ197" s="32">
        <f t="shared" si="122"/>
        <v>1021211</v>
      </c>
      <c r="BK197" s="4">
        <f t="shared" si="123"/>
        <v>444004</v>
      </c>
      <c r="BL197" s="32">
        <f t="shared" si="124"/>
        <v>577207</v>
      </c>
      <c r="BM197" s="4">
        <f t="shared" si="125"/>
        <v>444004</v>
      </c>
      <c r="BN197" s="32">
        <f t="shared" si="126"/>
        <v>133203</v>
      </c>
      <c r="BO197" s="32">
        <f t="shared" si="147"/>
        <v>133203</v>
      </c>
      <c r="BP197" s="32">
        <f t="shared" si="128"/>
        <v>0</v>
      </c>
      <c r="BQ197" s="32">
        <f t="shared" si="129"/>
        <v>0</v>
      </c>
      <c r="BS197" s="4">
        <v>66861</v>
      </c>
      <c r="BT197" s="4">
        <v>12858</v>
      </c>
      <c r="BU197" s="4">
        <v>54003</v>
      </c>
      <c r="BV197" s="4">
        <v>12858</v>
      </c>
      <c r="BW197" s="4">
        <v>41145</v>
      </c>
      <c r="BX197" s="4">
        <v>12858</v>
      </c>
      <c r="BY197" s="4">
        <v>28287</v>
      </c>
      <c r="BZ197" s="4">
        <v>12858</v>
      </c>
      <c r="CA197" s="4">
        <v>15429</v>
      </c>
      <c r="CB197" s="4">
        <v>12858</v>
      </c>
      <c r="CC197" s="4">
        <v>2571</v>
      </c>
      <c r="CD197" s="4">
        <v>2571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F197" s="4">
        <v>64595</v>
      </c>
      <c r="DG197" s="4">
        <v>11745</v>
      </c>
      <c r="DH197" s="4">
        <v>52850</v>
      </c>
      <c r="DI197" s="4">
        <v>11745</v>
      </c>
      <c r="DJ197" s="4">
        <v>41105</v>
      </c>
      <c r="DK197" s="4">
        <v>11745</v>
      </c>
      <c r="DL197" s="4">
        <v>29360</v>
      </c>
      <c r="DM197" s="4">
        <v>11745</v>
      </c>
      <c r="DN197" s="4">
        <v>17615</v>
      </c>
      <c r="DO197" s="4">
        <v>11745</v>
      </c>
      <c r="DP197" s="4">
        <v>5870</v>
      </c>
      <c r="DQ197" s="4">
        <v>5870</v>
      </c>
    </row>
    <row r="198" spans="1:121" x14ac:dyDescent="0.35">
      <c r="A198" s="87">
        <f>'2017 Prop share of contribs'!A201</f>
        <v>805</v>
      </c>
      <c r="B198" s="86" t="str">
        <f>'2017 Prop share of contribs'!B201</f>
        <v xml:space="preserve">KENTUCKY SCHOOL BOARDS ASSN  </v>
      </c>
      <c r="C198" s="25" t="s">
        <v>101</v>
      </c>
      <c r="D198" s="4">
        <f>ROUND('Employer Allocations'!G21,8)</f>
        <v>2.0461000000000001E-4</v>
      </c>
      <c r="E198" s="4">
        <f>ROUND('Employer Allocations'!H21,8)</f>
        <v>2.8609000000000002E-4</v>
      </c>
      <c r="F198" s="4">
        <f>ROUND('Employer Allocations'!I21,8)</f>
        <v>4.9069999999999995E-4</v>
      </c>
      <c r="G198" s="4">
        <v>4.3125999999999999E-4</v>
      </c>
      <c r="H198" s="4">
        <v>7.1409999999999996E-5</v>
      </c>
      <c r="I198" s="4">
        <v>5.0268000000000003E-4</v>
      </c>
      <c r="J198" s="7">
        <f t="shared" si="93"/>
        <v>5520939</v>
      </c>
      <c r="K198" s="7">
        <f t="shared" si="94"/>
        <v>7719493</v>
      </c>
      <c r="L198" s="7">
        <f t="shared" si="148"/>
        <v>13240432</v>
      </c>
      <c r="M198" s="7"/>
      <c r="N198" s="7">
        <f t="shared" si="95"/>
        <v>6843667</v>
      </c>
      <c r="O198" s="32">
        <f t="shared" si="96"/>
        <v>4917070</v>
      </c>
      <c r="P198" s="32"/>
      <c r="Q198" s="32">
        <f t="shared" si="97"/>
        <v>942516</v>
      </c>
      <c r="R198" s="32">
        <f t="shared" si="103"/>
        <v>549510</v>
      </c>
      <c r="S198" s="32">
        <f t="shared" si="149"/>
        <v>393006</v>
      </c>
      <c r="T198" s="32">
        <f t="shared" si="139"/>
        <v>-769793</v>
      </c>
      <c r="U198" s="32">
        <f t="shared" si="153"/>
        <v>29816</v>
      </c>
      <c r="V198" s="32">
        <f t="shared" si="153"/>
        <v>651426</v>
      </c>
      <c r="W198" s="32">
        <f t="shared" si="153"/>
        <v>0</v>
      </c>
      <c r="X198" s="32">
        <f t="shared" si="140"/>
        <v>429661</v>
      </c>
      <c r="Y198" s="32">
        <f t="shared" si="141"/>
        <v>1110903</v>
      </c>
      <c r="Z198" s="32">
        <f t="shared" si="153"/>
        <v>30069</v>
      </c>
      <c r="AA198" s="32">
        <f t="shared" si="153"/>
        <v>368797</v>
      </c>
      <c r="AB198" s="32">
        <f t="shared" si="153"/>
        <v>37541</v>
      </c>
      <c r="AC198" s="32">
        <f t="shared" si="142"/>
        <v>4317916</v>
      </c>
      <c r="AD198" s="32">
        <f t="shared" si="143"/>
        <v>4754323</v>
      </c>
      <c r="AE198" s="32">
        <f t="shared" si="150"/>
        <v>-1105100</v>
      </c>
      <c r="AF198" s="32">
        <f t="shared" si="144"/>
        <v>-1039355</v>
      </c>
      <c r="AG198" s="32">
        <f t="shared" si="151"/>
        <v>-1142452</v>
      </c>
      <c r="AH198" s="32">
        <f t="shared" si="145"/>
        <v>-356513</v>
      </c>
      <c r="AI198" s="32">
        <f t="shared" si="152"/>
        <v>0</v>
      </c>
      <c r="AJ198" s="32">
        <f t="shared" si="146"/>
        <v>0</v>
      </c>
      <c r="AK198" s="7">
        <v>12722217</v>
      </c>
      <c r="AL198" s="32">
        <v>2752839</v>
      </c>
      <c r="AM198" s="32">
        <v>160931</v>
      </c>
      <c r="AN198" s="7">
        <f>'Employer Allocations'!B21</f>
        <v>196157</v>
      </c>
      <c r="AO198" s="32">
        <f t="shared" si="107"/>
        <v>5520939</v>
      </c>
      <c r="AP198" s="32">
        <f t="shared" si="108"/>
        <v>0</v>
      </c>
      <c r="AS198" s="32">
        <f t="shared" si="109"/>
        <v>0</v>
      </c>
      <c r="AT198" s="32">
        <f t="shared" si="99"/>
        <v>0</v>
      </c>
      <c r="AU198" s="32">
        <f t="shared" si="110"/>
        <v>0</v>
      </c>
      <c r="AV198" s="4">
        <f t="shared" si="111"/>
        <v>0</v>
      </c>
      <c r="AW198" s="32">
        <f t="shared" si="112"/>
        <v>0</v>
      </c>
      <c r="AX198" s="4">
        <f t="shared" si="113"/>
        <v>0</v>
      </c>
      <c r="AY198" s="32">
        <f t="shared" si="114"/>
        <v>0</v>
      </c>
      <c r="AZ198" s="4">
        <f t="shared" si="115"/>
        <v>0</v>
      </c>
      <c r="BA198" s="32">
        <f t="shared" si="116"/>
        <v>0</v>
      </c>
      <c r="BB198" s="32">
        <f t="shared" si="100"/>
        <v>0</v>
      </c>
      <c r="BC198" s="32">
        <f t="shared" si="117"/>
        <v>0</v>
      </c>
      <c r="BD198" s="32">
        <f t="shared" si="118"/>
        <v>0</v>
      </c>
      <c r="BF198" s="32">
        <f t="shared" si="119"/>
        <v>5626376</v>
      </c>
      <c r="BG198" s="32">
        <f t="shared" si="101"/>
        <v>1308460</v>
      </c>
      <c r="BH198" s="32">
        <f t="shared" si="120"/>
        <v>4317916</v>
      </c>
      <c r="BI198" s="4">
        <f t="shared" si="121"/>
        <v>1308460</v>
      </c>
      <c r="BJ198" s="32">
        <f t="shared" si="122"/>
        <v>3009456</v>
      </c>
      <c r="BK198" s="4">
        <f t="shared" si="123"/>
        <v>1308460</v>
      </c>
      <c r="BL198" s="32">
        <f t="shared" si="124"/>
        <v>1700996</v>
      </c>
      <c r="BM198" s="4">
        <f t="shared" si="125"/>
        <v>1308460</v>
      </c>
      <c r="BN198" s="32">
        <f t="shared" si="126"/>
        <v>392536</v>
      </c>
      <c r="BO198" s="32">
        <f t="shared" si="147"/>
        <v>392536</v>
      </c>
      <c r="BP198" s="32">
        <f t="shared" si="128"/>
        <v>0</v>
      </c>
      <c r="BQ198" s="32">
        <f t="shared" si="129"/>
        <v>0</v>
      </c>
      <c r="BS198" s="4">
        <v>320623</v>
      </c>
      <c r="BT198" s="4">
        <v>61658</v>
      </c>
      <c r="BU198" s="4">
        <v>258965</v>
      </c>
      <c r="BV198" s="4">
        <v>61658</v>
      </c>
      <c r="BW198" s="4">
        <v>197307</v>
      </c>
      <c r="BX198" s="4">
        <v>61658</v>
      </c>
      <c r="BY198" s="4">
        <v>135649</v>
      </c>
      <c r="BZ198" s="4">
        <v>61658</v>
      </c>
      <c r="CA198" s="4">
        <v>73991</v>
      </c>
      <c r="CB198" s="4">
        <v>61658</v>
      </c>
      <c r="CC198" s="4">
        <v>12333</v>
      </c>
      <c r="CD198" s="4">
        <v>12333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S198" s="4">
        <v>462018</v>
      </c>
      <c r="CT198" s="4">
        <v>84003</v>
      </c>
      <c r="CU198" s="4">
        <v>378015</v>
      </c>
      <c r="CV198" s="4">
        <v>84003</v>
      </c>
      <c r="CW198" s="4">
        <v>294012</v>
      </c>
      <c r="CX198" s="4">
        <v>84003</v>
      </c>
      <c r="CY198" s="4">
        <v>210009</v>
      </c>
      <c r="CZ198" s="4">
        <v>84003</v>
      </c>
      <c r="DA198" s="4">
        <v>126006</v>
      </c>
      <c r="DB198" s="4">
        <v>84003</v>
      </c>
      <c r="DC198" s="4">
        <v>42003</v>
      </c>
      <c r="DD198" s="4">
        <v>42003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  <c r="DO198" s="4">
        <v>0</v>
      </c>
      <c r="DP198" s="4">
        <v>0</v>
      </c>
      <c r="DQ198" s="4">
        <v>0</v>
      </c>
    </row>
    <row r="199" spans="1:121" x14ac:dyDescent="0.35">
      <c r="A199" s="87">
        <f>'2017 Prop share of contribs'!A202</f>
        <v>806</v>
      </c>
      <c r="B199" s="86" t="str">
        <f>'2017 Prop share of contribs'!B202</f>
        <v xml:space="preserve">KEA  </v>
      </c>
      <c r="C199" s="25" t="s">
        <v>102</v>
      </c>
      <c r="D199" s="4">
        <f>ROUND('Employer Allocations'!G22,8)</f>
        <v>2.5049999999999999E-5</v>
      </c>
      <c r="E199" s="4">
        <f>ROUND('Employer Allocations'!H22,8)</f>
        <v>3.502E-5</v>
      </c>
      <c r="F199" s="4">
        <f>ROUND('Employer Allocations'!I22,8)</f>
        <v>6.0069999999999999E-5</v>
      </c>
      <c r="G199" s="4">
        <v>5.3909999999999997E-5</v>
      </c>
      <c r="H199" s="4">
        <v>8.9299999999999992E-6</v>
      </c>
      <c r="I199" s="4">
        <v>6.2840000000000001E-5</v>
      </c>
      <c r="J199" s="7">
        <f t="shared" si="93"/>
        <v>675918</v>
      </c>
      <c r="K199" s="7">
        <f t="shared" si="94"/>
        <v>944936</v>
      </c>
      <c r="L199" s="7">
        <f t="shared" si="148"/>
        <v>1620854</v>
      </c>
      <c r="M199" s="7"/>
      <c r="N199" s="7">
        <f t="shared" si="95"/>
        <v>837857</v>
      </c>
      <c r="O199" s="32">
        <f t="shared" si="96"/>
        <v>601987</v>
      </c>
      <c r="P199" s="32"/>
      <c r="Q199" s="32">
        <f t="shared" si="97"/>
        <v>115380</v>
      </c>
      <c r="R199" s="32">
        <f t="shared" si="103"/>
        <v>67265</v>
      </c>
      <c r="S199" s="32">
        <f t="shared" si="149"/>
        <v>48115</v>
      </c>
      <c r="T199" s="32">
        <f t="shared" si="139"/>
        <v>-97061</v>
      </c>
      <c r="U199" s="32">
        <f t="shared" si="153"/>
        <v>3650</v>
      </c>
      <c r="V199" s="32">
        <f t="shared" si="153"/>
        <v>79753</v>
      </c>
      <c r="W199" s="32">
        <f t="shared" si="153"/>
        <v>0</v>
      </c>
      <c r="X199" s="32">
        <f t="shared" si="140"/>
        <v>77694</v>
      </c>
      <c r="Y199" s="32">
        <f t="shared" si="141"/>
        <v>161097</v>
      </c>
      <c r="Z199" s="32">
        <f t="shared" si="153"/>
        <v>3681</v>
      </c>
      <c r="AA199" s="32">
        <f t="shared" si="153"/>
        <v>45151</v>
      </c>
      <c r="AB199" s="32">
        <f t="shared" si="153"/>
        <v>4596</v>
      </c>
      <c r="AC199" s="32">
        <f t="shared" si="142"/>
        <v>551493</v>
      </c>
      <c r="AD199" s="32">
        <f t="shared" si="143"/>
        <v>604921</v>
      </c>
      <c r="AE199" s="32">
        <f t="shared" si="150"/>
        <v>-138112</v>
      </c>
      <c r="AF199" s="32">
        <f t="shared" si="144"/>
        <v>-130063</v>
      </c>
      <c r="AG199" s="32">
        <f t="shared" si="151"/>
        <v>-136034</v>
      </c>
      <c r="AH199" s="32">
        <f t="shared" si="145"/>
        <v>-39615</v>
      </c>
      <c r="AI199" s="32">
        <f t="shared" si="152"/>
        <v>0</v>
      </c>
      <c r="AJ199" s="32">
        <f t="shared" si="146"/>
        <v>0</v>
      </c>
      <c r="AK199" s="7">
        <v>1590351</v>
      </c>
      <c r="AL199" s="32">
        <v>372094</v>
      </c>
      <c r="AM199" s="32">
        <v>22561</v>
      </c>
      <c r="AN199" s="7">
        <f>'Employer Allocations'!B22</f>
        <v>24012</v>
      </c>
      <c r="AO199" s="32">
        <f t="shared" si="107"/>
        <v>675921</v>
      </c>
      <c r="AP199" s="32">
        <f t="shared" si="108"/>
        <v>-3</v>
      </c>
      <c r="AS199" s="32">
        <f t="shared" si="109"/>
        <v>0</v>
      </c>
      <c r="AT199" s="32">
        <f t="shared" si="99"/>
        <v>0</v>
      </c>
      <c r="AU199" s="32">
        <f t="shared" si="110"/>
        <v>0</v>
      </c>
      <c r="AV199" s="4">
        <f t="shared" si="111"/>
        <v>0</v>
      </c>
      <c r="AW199" s="32">
        <f t="shared" si="112"/>
        <v>0</v>
      </c>
      <c r="AX199" s="4">
        <f t="shared" si="113"/>
        <v>0</v>
      </c>
      <c r="AY199" s="32">
        <f t="shared" si="114"/>
        <v>0</v>
      </c>
      <c r="AZ199" s="4">
        <f t="shared" si="115"/>
        <v>0</v>
      </c>
      <c r="BA199" s="32">
        <f t="shared" si="116"/>
        <v>0</v>
      </c>
      <c r="BB199" s="32">
        <f t="shared" si="100"/>
        <v>0</v>
      </c>
      <c r="BC199" s="32">
        <f t="shared" si="117"/>
        <v>0</v>
      </c>
      <c r="BD199" s="32">
        <f t="shared" si="118"/>
        <v>0</v>
      </c>
      <c r="BF199" s="32">
        <f t="shared" si="119"/>
        <v>716423</v>
      </c>
      <c r="BG199" s="32">
        <f t="shared" si="101"/>
        <v>166610</v>
      </c>
      <c r="BH199" s="32">
        <f t="shared" si="120"/>
        <v>549813</v>
      </c>
      <c r="BI199" s="4">
        <f t="shared" si="121"/>
        <v>166610</v>
      </c>
      <c r="BJ199" s="32">
        <f t="shared" si="122"/>
        <v>383203</v>
      </c>
      <c r="BK199" s="4">
        <f t="shared" si="123"/>
        <v>166610</v>
      </c>
      <c r="BL199" s="32">
        <f t="shared" si="124"/>
        <v>216593</v>
      </c>
      <c r="BM199" s="4">
        <f t="shared" si="125"/>
        <v>166610</v>
      </c>
      <c r="BN199" s="32">
        <f t="shared" si="126"/>
        <v>49983</v>
      </c>
      <c r="BO199" s="32">
        <f t="shared" si="147"/>
        <v>49983</v>
      </c>
      <c r="BP199" s="32">
        <f t="shared" si="128"/>
        <v>0</v>
      </c>
      <c r="BQ199" s="32">
        <f t="shared" si="129"/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F199" s="4">
        <v>3972</v>
      </c>
      <c r="CG199" s="4">
        <v>764</v>
      </c>
      <c r="CH199" s="4">
        <v>3208</v>
      </c>
      <c r="CI199" s="4">
        <v>764</v>
      </c>
      <c r="CJ199" s="4">
        <v>2444</v>
      </c>
      <c r="CK199" s="4">
        <v>764</v>
      </c>
      <c r="CL199" s="4">
        <v>1680</v>
      </c>
      <c r="CM199" s="4">
        <v>764</v>
      </c>
      <c r="CN199" s="4">
        <v>916</v>
      </c>
      <c r="CO199" s="4">
        <v>764</v>
      </c>
      <c r="CP199" s="4">
        <v>152</v>
      </c>
      <c r="CQ199" s="4">
        <v>152</v>
      </c>
      <c r="CS199" s="4">
        <v>122090</v>
      </c>
      <c r="CT199" s="4">
        <v>22198</v>
      </c>
      <c r="CU199" s="4">
        <v>99892</v>
      </c>
      <c r="CV199" s="4">
        <v>22198</v>
      </c>
      <c r="CW199" s="4">
        <v>77694</v>
      </c>
      <c r="CX199" s="4">
        <v>22198</v>
      </c>
      <c r="CY199" s="4">
        <v>55496</v>
      </c>
      <c r="CZ199" s="4">
        <v>22198</v>
      </c>
      <c r="DA199" s="4">
        <v>33298</v>
      </c>
      <c r="DB199" s="4">
        <v>22198</v>
      </c>
      <c r="DC199" s="4">
        <v>11100</v>
      </c>
      <c r="DD199" s="4">
        <v>11100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  <c r="DO199" s="4">
        <v>0</v>
      </c>
      <c r="DP199" s="4">
        <v>0</v>
      </c>
      <c r="DQ199" s="4">
        <v>0</v>
      </c>
    </row>
    <row r="200" spans="1:121" x14ac:dyDescent="0.35">
      <c r="A200" s="87">
        <f>'2017 Prop share of contribs'!A203</f>
        <v>807</v>
      </c>
      <c r="B200" s="86" t="str">
        <f>'2017 Prop share of contribs'!B203</f>
        <v xml:space="preserve">ACADEMIC ASSOCIATION  </v>
      </c>
      <c r="C200" s="25" t="s">
        <v>103</v>
      </c>
      <c r="D200" s="4">
        <f>ROUND('Employer Allocations'!G23,8)</f>
        <v>1.613E-5</v>
      </c>
      <c r="E200" s="4">
        <f>ROUND('Employer Allocations'!H23,8)</f>
        <v>2.2549999999999999E-5</v>
      </c>
      <c r="F200" s="4">
        <f>ROUND('Employer Allocations'!I23,8)</f>
        <v>3.8680000000000002E-5</v>
      </c>
      <c r="G200" s="4">
        <v>3.1510000000000002E-5</v>
      </c>
      <c r="H200" s="4">
        <v>5.22E-6</v>
      </c>
      <c r="I200" s="4">
        <v>3.6720000000000001E-5</v>
      </c>
      <c r="J200" s="7">
        <f t="shared" si="93"/>
        <v>435232</v>
      </c>
      <c r="K200" s="7">
        <f t="shared" si="94"/>
        <v>608461</v>
      </c>
      <c r="L200" s="7">
        <f t="shared" si="148"/>
        <v>1043693</v>
      </c>
      <c r="M200" s="7"/>
      <c r="N200" s="7">
        <f t="shared" si="95"/>
        <v>539506</v>
      </c>
      <c r="O200" s="32">
        <f t="shared" si="96"/>
        <v>387627</v>
      </c>
      <c r="P200" s="32"/>
      <c r="Q200" s="32">
        <f t="shared" si="97"/>
        <v>74295</v>
      </c>
      <c r="R200" s="32">
        <f t="shared" si="103"/>
        <v>43313</v>
      </c>
      <c r="S200" s="32">
        <f t="shared" si="149"/>
        <v>30982</v>
      </c>
      <c r="T200" s="32">
        <f t="shared" si="139"/>
        <v>-56612</v>
      </c>
      <c r="U200" s="32">
        <f t="shared" ref="U200:AB210" si="154">ROUND(U$2*$D200,0)</f>
        <v>2351</v>
      </c>
      <c r="V200" s="32">
        <f t="shared" si="154"/>
        <v>51354</v>
      </c>
      <c r="W200" s="32">
        <f t="shared" si="154"/>
        <v>0</v>
      </c>
      <c r="X200" s="32">
        <f t="shared" si="140"/>
        <v>3455</v>
      </c>
      <c r="Y200" s="32">
        <f t="shared" si="141"/>
        <v>57160</v>
      </c>
      <c r="Z200" s="32">
        <f t="shared" si="154"/>
        <v>2370</v>
      </c>
      <c r="AA200" s="32">
        <f t="shared" si="154"/>
        <v>29073</v>
      </c>
      <c r="AB200" s="32">
        <f t="shared" si="154"/>
        <v>2959</v>
      </c>
      <c r="AC200" s="32">
        <f t="shared" si="142"/>
        <v>294317</v>
      </c>
      <c r="AD200" s="32">
        <f t="shared" si="143"/>
        <v>328719</v>
      </c>
      <c r="AE200" s="32">
        <f t="shared" si="150"/>
        <v>-83045</v>
      </c>
      <c r="AF200" s="32">
        <f t="shared" si="144"/>
        <v>-77863</v>
      </c>
      <c r="AG200" s="32">
        <f t="shared" si="151"/>
        <v>-83357</v>
      </c>
      <c r="AH200" s="32">
        <f t="shared" si="145"/>
        <v>-27294</v>
      </c>
      <c r="AI200" s="32">
        <f t="shared" si="152"/>
        <v>0</v>
      </c>
      <c r="AJ200" s="32">
        <f t="shared" si="146"/>
        <v>0</v>
      </c>
      <c r="AK200" s="7">
        <v>929548</v>
      </c>
      <c r="AL200" s="32">
        <v>164125</v>
      </c>
      <c r="AM200" s="32">
        <v>13445</v>
      </c>
      <c r="AN200" s="7">
        <f>'Employer Allocations'!B23</f>
        <v>15463</v>
      </c>
      <c r="AO200" s="32">
        <f t="shared" si="107"/>
        <v>435234</v>
      </c>
      <c r="AP200" s="32">
        <f t="shared" si="108"/>
        <v>-2</v>
      </c>
      <c r="AS200" s="32">
        <f t="shared" si="109"/>
        <v>0</v>
      </c>
      <c r="AT200" s="32">
        <f t="shared" si="99"/>
        <v>0</v>
      </c>
      <c r="AU200" s="32">
        <f t="shared" si="110"/>
        <v>0</v>
      </c>
      <c r="AV200" s="4">
        <f t="shared" si="111"/>
        <v>0</v>
      </c>
      <c r="AW200" s="32">
        <f t="shared" si="112"/>
        <v>0</v>
      </c>
      <c r="AX200" s="4">
        <f t="shared" si="113"/>
        <v>0</v>
      </c>
      <c r="AY200" s="32">
        <f t="shared" si="114"/>
        <v>0</v>
      </c>
      <c r="AZ200" s="4">
        <f t="shared" si="115"/>
        <v>0</v>
      </c>
      <c r="BA200" s="32">
        <f t="shared" si="116"/>
        <v>0</v>
      </c>
      <c r="BB200" s="32">
        <f t="shared" si="100"/>
        <v>0</v>
      </c>
      <c r="BC200" s="32">
        <f t="shared" si="117"/>
        <v>0</v>
      </c>
      <c r="BD200" s="32">
        <f t="shared" si="118"/>
        <v>0</v>
      </c>
      <c r="BF200" s="32">
        <f t="shared" si="119"/>
        <v>381794</v>
      </c>
      <c r="BG200" s="32">
        <f t="shared" si="101"/>
        <v>88789</v>
      </c>
      <c r="BH200" s="32">
        <f t="shared" si="120"/>
        <v>293005</v>
      </c>
      <c r="BI200" s="4">
        <f t="shared" si="121"/>
        <v>88789</v>
      </c>
      <c r="BJ200" s="32">
        <f t="shared" si="122"/>
        <v>204216</v>
      </c>
      <c r="BK200" s="4">
        <f t="shared" si="123"/>
        <v>88789</v>
      </c>
      <c r="BL200" s="32">
        <f t="shared" si="124"/>
        <v>115427</v>
      </c>
      <c r="BM200" s="4">
        <f t="shared" si="125"/>
        <v>88789</v>
      </c>
      <c r="BN200" s="32">
        <f t="shared" si="126"/>
        <v>26638</v>
      </c>
      <c r="BO200" s="32">
        <f t="shared" si="147"/>
        <v>26638</v>
      </c>
      <c r="BP200" s="32">
        <f t="shared" si="128"/>
        <v>0</v>
      </c>
      <c r="BQ200" s="32">
        <f t="shared" si="129"/>
        <v>0</v>
      </c>
      <c r="BS200" s="4">
        <v>8165</v>
      </c>
      <c r="BT200" s="4">
        <v>1570</v>
      </c>
      <c r="BU200" s="4">
        <v>6595</v>
      </c>
      <c r="BV200" s="4">
        <v>1570</v>
      </c>
      <c r="BW200" s="4">
        <v>5025</v>
      </c>
      <c r="BX200" s="4">
        <v>1570</v>
      </c>
      <c r="BY200" s="4">
        <v>3455</v>
      </c>
      <c r="BZ200" s="4">
        <v>1570</v>
      </c>
      <c r="CA200" s="4">
        <v>1885</v>
      </c>
      <c r="CB200" s="4">
        <v>1570</v>
      </c>
      <c r="CC200" s="4">
        <v>315</v>
      </c>
      <c r="CD200" s="4">
        <v>315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F200" s="4">
        <v>2062</v>
      </c>
      <c r="DG200" s="4">
        <v>375</v>
      </c>
      <c r="DH200" s="4">
        <v>1687</v>
      </c>
      <c r="DI200" s="4">
        <v>375</v>
      </c>
      <c r="DJ200" s="4">
        <v>1312</v>
      </c>
      <c r="DK200" s="4">
        <v>375</v>
      </c>
      <c r="DL200" s="4">
        <v>937</v>
      </c>
      <c r="DM200" s="4">
        <v>375</v>
      </c>
      <c r="DN200" s="4">
        <v>562</v>
      </c>
      <c r="DO200" s="4">
        <v>375</v>
      </c>
      <c r="DP200" s="4">
        <v>187</v>
      </c>
      <c r="DQ200" s="4">
        <v>187</v>
      </c>
    </row>
    <row r="201" spans="1:121" x14ac:dyDescent="0.35">
      <c r="A201" s="87">
        <f>'2017 Prop share of contribs'!A204</f>
        <v>809</v>
      </c>
      <c r="B201" s="86" t="str">
        <f>'2017 Prop share of contribs'!B204</f>
        <v xml:space="preserve">JEFFERSON CO TEACHERS ASSOC  </v>
      </c>
      <c r="C201" s="25" t="s">
        <v>117</v>
      </c>
      <c r="D201" s="4">
        <f>ROUND('Employer Allocations'!G24,8)</f>
        <v>7.3100000000000003E-6</v>
      </c>
      <c r="E201" s="4">
        <f>ROUND('Employer Allocations'!H24,8)</f>
        <v>1.022E-5</v>
      </c>
      <c r="F201" s="4">
        <f>ROUND('Employer Allocations'!I24,8)</f>
        <v>1.7540000000000001E-5</v>
      </c>
      <c r="G201" s="4">
        <v>1.418E-5</v>
      </c>
      <c r="H201" s="4">
        <v>2.3499999999999999E-6</v>
      </c>
      <c r="I201" s="4">
        <v>1.6529999999999999E-5</v>
      </c>
      <c r="J201" s="7">
        <f t="shared" si="93"/>
        <v>197244</v>
      </c>
      <c r="K201" s="7">
        <f t="shared" si="94"/>
        <v>275764</v>
      </c>
      <c r="L201" s="7">
        <f t="shared" si="148"/>
        <v>473008</v>
      </c>
      <c r="M201" s="7"/>
      <c r="N201" s="7">
        <f t="shared" si="95"/>
        <v>244500</v>
      </c>
      <c r="O201" s="32">
        <f t="shared" si="96"/>
        <v>175670</v>
      </c>
      <c r="P201" s="32"/>
      <c r="Q201" s="32">
        <f t="shared" si="97"/>
        <v>33690</v>
      </c>
      <c r="R201" s="32">
        <f t="shared" si="103"/>
        <v>19630</v>
      </c>
      <c r="S201" s="32">
        <f t="shared" si="149"/>
        <v>14060</v>
      </c>
      <c r="T201" s="32">
        <f t="shared" si="139"/>
        <v>-23465</v>
      </c>
      <c r="U201" s="32">
        <f t="shared" si="154"/>
        <v>1065</v>
      </c>
      <c r="V201" s="32">
        <f t="shared" si="154"/>
        <v>23273</v>
      </c>
      <c r="W201" s="32">
        <f t="shared" si="154"/>
        <v>0</v>
      </c>
      <c r="X201" s="32">
        <f t="shared" si="140"/>
        <v>6647</v>
      </c>
      <c r="Y201" s="32">
        <f t="shared" si="141"/>
        <v>30985</v>
      </c>
      <c r="Z201" s="32">
        <f t="shared" si="154"/>
        <v>1074</v>
      </c>
      <c r="AA201" s="32">
        <f t="shared" si="154"/>
        <v>13176</v>
      </c>
      <c r="AB201" s="32">
        <f t="shared" si="154"/>
        <v>1341</v>
      </c>
      <c r="AC201" s="32">
        <f t="shared" si="142"/>
        <v>130880</v>
      </c>
      <c r="AD201" s="32">
        <f t="shared" si="143"/>
        <v>146471</v>
      </c>
      <c r="AE201" s="32">
        <f t="shared" si="150"/>
        <v>-35464</v>
      </c>
      <c r="AF201" s="32">
        <f t="shared" si="144"/>
        <v>-33115</v>
      </c>
      <c r="AG201" s="32">
        <f t="shared" si="151"/>
        <v>-35548</v>
      </c>
      <c r="AH201" s="32">
        <f t="shared" si="145"/>
        <v>-11359</v>
      </c>
      <c r="AI201" s="32">
        <f t="shared" si="152"/>
        <v>0</v>
      </c>
      <c r="AJ201" s="32">
        <f t="shared" si="146"/>
        <v>0</v>
      </c>
      <c r="AK201" s="7">
        <v>418312</v>
      </c>
      <c r="AL201" s="32">
        <v>80381</v>
      </c>
      <c r="AM201" s="32">
        <v>5291</v>
      </c>
      <c r="AN201" s="7">
        <f>'Employer Allocations'!B24</f>
        <v>7010</v>
      </c>
      <c r="AO201" s="32">
        <f t="shared" si="107"/>
        <v>197261</v>
      </c>
      <c r="AP201" s="32">
        <f t="shared" si="108"/>
        <v>-17</v>
      </c>
      <c r="AS201" s="32">
        <f t="shared" si="109"/>
        <v>0</v>
      </c>
      <c r="AT201" s="32">
        <f t="shared" si="99"/>
        <v>0</v>
      </c>
      <c r="AU201" s="32">
        <f t="shared" si="110"/>
        <v>0</v>
      </c>
      <c r="AV201" s="4">
        <f t="shared" si="111"/>
        <v>0</v>
      </c>
      <c r="AW201" s="32">
        <f t="shared" si="112"/>
        <v>0</v>
      </c>
      <c r="AX201" s="4">
        <f t="shared" si="113"/>
        <v>0</v>
      </c>
      <c r="AY201" s="32">
        <f t="shared" si="114"/>
        <v>0</v>
      </c>
      <c r="AZ201" s="4">
        <f t="shared" si="115"/>
        <v>0</v>
      </c>
      <c r="BA201" s="32">
        <f t="shared" si="116"/>
        <v>0</v>
      </c>
      <c r="BB201" s="32">
        <f t="shared" si="100"/>
        <v>0</v>
      </c>
      <c r="BC201" s="32">
        <f t="shared" si="117"/>
        <v>0</v>
      </c>
      <c r="BD201" s="32">
        <f t="shared" si="118"/>
        <v>0</v>
      </c>
      <c r="BF201" s="32">
        <f t="shared" si="119"/>
        <v>170541</v>
      </c>
      <c r="BG201" s="32">
        <f t="shared" si="101"/>
        <v>39661</v>
      </c>
      <c r="BH201" s="32">
        <f t="shared" si="120"/>
        <v>130880</v>
      </c>
      <c r="BI201" s="4">
        <f t="shared" si="121"/>
        <v>39661</v>
      </c>
      <c r="BJ201" s="32">
        <f t="shared" si="122"/>
        <v>91219</v>
      </c>
      <c r="BK201" s="4">
        <f t="shared" si="123"/>
        <v>39661</v>
      </c>
      <c r="BL201" s="32">
        <f t="shared" si="124"/>
        <v>51558</v>
      </c>
      <c r="BM201" s="4">
        <f t="shared" si="125"/>
        <v>39661</v>
      </c>
      <c r="BN201" s="32">
        <f t="shared" si="126"/>
        <v>11897</v>
      </c>
      <c r="BO201" s="32">
        <f t="shared" si="147"/>
        <v>11897</v>
      </c>
      <c r="BP201" s="32">
        <f t="shared" si="128"/>
        <v>0</v>
      </c>
      <c r="BQ201" s="32">
        <f t="shared" si="129"/>
        <v>0</v>
      </c>
      <c r="BS201" s="4">
        <v>3310</v>
      </c>
      <c r="BT201" s="4">
        <v>637</v>
      </c>
      <c r="BU201" s="4">
        <v>2673</v>
      </c>
      <c r="BV201" s="4">
        <v>637</v>
      </c>
      <c r="BW201" s="4">
        <v>2036</v>
      </c>
      <c r="BX201" s="4">
        <v>637</v>
      </c>
      <c r="BY201" s="4">
        <v>1399</v>
      </c>
      <c r="BZ201" s="4">
        <v>637</v>
      </c>
      <c r="CA201" s="4">
        <v>762</v>
      </c>
      <c r="CB201" s="4">
        <v>637</v>
      </c>
      <c r="CC201" s="4">
        <v>125</v>
      </c>
      <c r="CD201" s="4">
        <v>125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S201" s="4">
        <v>8246</v>
      </c>
      <c r="CT201" s="4">
        <v>1499</v>
      </c>
      <c r="CU201" s="4">
        <v>6747</v>
      </c>
      <c r="CV201" s="4">
        <v>1499</v>
      </c>
      <c r="CW201" s="4">
        <v>5248</v>
      </c>
      <c r="CX201" s="4">
        <v>1499</v>
      </c>
      <c r="CY201" s="4">
        <v>3749</v>
      </c>
      <c r="CZ201" s="4">
        <v>1499</v>
      </c>
      <c r="DA201" s="4">
        <v>2250</v>
      </c>
      <c r="DB201" s="4">
        <v>1499</v>
      </c>
      <c r="DC201" s="4">
        <v>751</v>
      </c>
      <c r="DD201" s="4">
        <v>751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  <c r="DO201" s="4">
        <v>0</v>
      </c>
      <c r="DP201" s="4">
        <v>0</v>
      </c>
      <c r="DQ201" s="4">
        <v>0</v>
      </c>
    </row>
    <row r="202" spans="1:121" x14ac:dyDescent="0.35">
      <c r="A202" s="84">
        <f>'2017 Prop share of contribs'!A205</f>
        <v>870</v>
      </c>
      <c r="B202" s="84" t="str">
        <f>'2017 Prop share of contribs'!B205</f>
        <v xml:space="preserve">OHIO VALLEY EDUC COOPERATIVE  </v>
      </c>
      <c r="C202" s="25" t="s">
        <v>292</v>
      </c>
      <c r="D202" s="4">
        <f>ROUND('Employer Allocations'!G222,8)</f>
        <v>0</v>
      </c>
      <c r="E202" s="4">
        <f>ROUND('Employer Allocations'!H222,8)</f>
        <v>6.2405999999999996E-4</v>
      </c>
      <c r="F202" s="4">
        <f>ROUND('Employer Allocations'!I222,8)</f>
        <v>6.2405999999999996E-4</v>
      </c>
      <c r="G202" s="4">
        <v>0</v>
      </c>
      <c r="H202" s="4">
        <v>7.6501E-4</v>
      </c>
      <c r="I202" s="4">
        <v>7.6501E-4</v>
      </c>
      <c r="J202" s="7">
        <f t="shared" ref="J202:J210" si="155">ROUND($J$2*D202,0)</f>
        <v>0</v>
      </c>
      <c r="K202" s="7">
        <f t="shared" ref="K202:K210" si="156">ROUND($J$2*E202,0)</f>
        <v>16838851</v>
      </c>
      <c r="L202" s="7">
        <f t="shared" si="148"/>
        <v>16838851</v>
      </c>
      <c r="M202" s="7"/>
      <c r="N202" s="7">
        <f t="shared" ref="N202:N210" si="157">ROUND($N$2*D202,0)</f>
        <v>0</v>
      </c>
      <c r="O202" s="32">
        <f t="shared" ref="O202:O210" si="158">ROUND($O$2*D202,0)</f>
        <v>0</v>
      </c>
      <c r="P202" s="32"/>
      <c r="Q202" s="32">
        <f t="shared" ref="Q202:Q210" si="159">ROUND(Q$2*$F202,0)</f>
        <v>1198668</v>
      </c>
      <c r="R202" s="32">
        <f t="shared" si="103"/>
        <v>1198668</v>
      </c>
      <c r="S202" s="32">
        <f t="shared" si="149"/>
        <v>0</v>
      </c>
      <c r="T202" s="32">
        <f t="shared" si="139"/>
        <v>0</v>
      </c>
      <c r="U202" s="32">
        <f t="shared" si="154"/>
        <v>0</v>
      </c>
      <c r="V202" s="32">
        <f t="shared" si="154"/>
        <v>0</v>
      </c>
      <c r="W202" s="32">
        <f t="shared" si="154"/>
        <v>0</v>
      </c>
      <c r="X202" s="32">
        <f t="shared" si="140"/>
        <v>0</v>
      </c>
      <c r="Y202" s="32">
        <f t="shared" si="141"/>
        <v>0</v>
      </c>
      <c r="Z202" s="32">
        <f t="shared" si="154"/>
        <v>0</v>
      </c>
      <c r="AA202" s="32">
        <f t="shared" si="154"/>
        <v>0</v>
      </c>
      <c r="AB202" s="32">
        <f t="shared" si="154"/>
        <v>0</v>
      </c>
      <c r="AC202" s="32">
        <f t="shared" si="142"/>
        <v>0</v>
      </c>
      <c r="AD202" s="32">
        <f t="shared" si="143"/>
        <v>0</v>
      </c>
      <c r="AE202" s="32">
        <f t="shared" si="150"/>
        <v>0</v>
      </c>
      <c r="AF202" s="32">
        <f t="shared" si="144"/>
        <v>0</v>
      </c>
      <c r="AG202" s="32">
        <f t="shared" si="151"/>
        <v>0</v>
      </c>
      <c r="AH202" s="32">
        <f t="shared" si="145"/>
        <v>0</v>
      </c>
      <c r="AI202" s="32">
        <f t="shared" si="152"/>
        <v>0</v>
      </c>
      <c r="AJ202" s="32">
        <f t="shared" si="146"/>
        <v>0</v>
      </c>
      <c r="AK202" s="7">
        <v>0</v>
      </c>
      <c r="AL202" s="32">
        <v>0</v>
      </c>
      <c r="AM202" s="32">
        <v>0</v>
      </c>
      <c r="AN202" s="4">
        <v>0</v>
      </c>
      <c r="AO202" s="32">
        <f t="shared" si="107"/>
        <v>0</v>
      </c>
      <c r="AP202" s="32">
        <f t="shared" si="108"/>
        <v>0</v>
      </c>
      <c r="AS202" s="32">
        <f t="shared" si="109"/>
        <v>0</v>
      </c>
      <c r="AT202" s="32">
        <f t="shared" ref="AT202:AT210" si="160">ROUND(AS202/$K$2,0)</f>
        <v>0</v>
      </c>
      <c r="AU202" s="32">
        <f t="shared" si="110"/>
        <v>0</v>
      </c>
      <c r="AV202" s="4">
        <f t="shared" si="111"/>
        <v>0</v>
      </c>
      <c r="AW202" s="32">
        <f t="shared" si="112"/>
        <v>0</v>
      </c>
      <c r="AX202" s="4">
        <f t="shared" si="113"/>
        <v>0</v>
      </c>
      <c r="AY202" s="32">
        <f t="shared" si="114"/>
        <v>0</v>
      </c>
      <c r="AZ202" s="4">
        <f t="shared" si="115"/>
        <v>0</v>
      </c>
      <c r="BA202" s="32">
        <f t="shared" si="116"/>
        <v>0</v>
      </c>
      <c r="BB202" s="32">
        <f t="shared" ref="BB202:BB210" si="161">BA202</f>
        <v>0</v>
      </c>
      <c r="BC202" s="32">
        <f t="shared" si="117"/>
        <v>0</v>
      </c>
      <c r="BD202" s="32">
        <f t="shared" si="118"/>
        <v>0</v>
      </c>
      <c r="BF202" s="32">
        <f t="shared" si="119"/>
        <v>0</v>
      </c>
      <c r="BG202" s="32">
        <f t="shared" ref="BG202:BG210" si="162">ROUND(BF202/$K$2,0)</f>
        <v>0</v>
      </c>
      <c r="BH202" s="32">
        <f t="shared" si="120"/>
        <v>0</v>
      </c>
      <c r="BI202" s="4">
        <f t="shared" si="121"/>
        <v>0</v>
      </c>
      <c r="BJ202" s="32">
        <f t="shared" si="122"/>
        <v>0</v>
      </c>
      <c r="BK202" s="4">
        <f t="shared" si="123"/>
        <v>0</v>
      </c>
      <c r="BL202" s="32">
        <f t="shared" si="124"/>
        <v>0</v>
      </c>
      <c r="BM202" s="4">
        <f t="shared" si="125"/>
        <v>0</v>
      </c>
      <c r="BN202" s="32">
        <f t="shared" si="126"/>
        <v>0</v>
      </c>
      <c r="BO202" s="32">
        <f t="shared" si="147"/>
        <v>0</v>
      </c>
      <c r="BP202" s="32">
        <f t="shared" si="128"/>
        <v>0</v>
      </c>
      <c r="BQ202" s="32">
        <f t="shared" si="129"/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  <c r="DO202" s="4">
        <v>0</v>
      </c>
      <c r="DP202" s="4">
        <v>0</v>
      </c>
      <c r="DQ202" s="4">
        <v>0</v>
      </c>
    </row>
    <row r="203" spans="1:121" x14ac:dyDescent="0.35">
      <c r="A203" s="84">
        <f>'2017 Prop share of contribs'!A206</f>
        <v>871</v>
      </c>
      <c r="B203" s="84" t="str">
        <f>'2017 Prop share of contribs'!B206</f>
        <v xml:space="preserve">WEST KENTUCKY EDUC COOPERATIVE  </v>
      </c>
      <c r="C203" s="25" t="s">
        <v>293</v>
      </c>
      <c r="D203" s="4">
        <f>ROUND('Employer Allocations'!G223,8)</f>
        <v>0</v>
      </c>
      <c r="E203" s="4">
        <f>ROUND('Employer Allocations'!H223,8)</f>
        <v>3.1156000000000001E-4</v>
      </c>
      <c r="F203" s="4">
        <f>ROUND('Employer Allocations'!I223,8)</f>
        <v>3.1156000000000001E-4</v>
      </c>
      <c r="G203" s="4">
        <v>0</v>
      </c>
      <c r="H203" s="4">
        <v>3.5104E-4</v>
      </c>
      <c r="I203" s="4">
        <v>3.5104E-4</v>
      </c>
      <c r="J203" s="7">
        <f t="shared" si="155"/>
        <v>0</v>
      </c>
      <c r="K203" s="7">
        <f t="shared" si="156"/>
        <v>8406744</v>
      </c>
      <c r="L203" s="7">
        <f t="shared" si="148"/>
        <v>8406744</v>
      </c>
      <c r="M203" s="7"/>
      <c r="N203" s="7">
        <f t="shared" si="157"/>
        <v>0</v>
      </c>
      <c r="O203" s="32">
        <f t="shared" si="158"/>
        <v>0</v>
      </c>
      <c r="P203" s="32"/>
      <c r="Q203" s="32">
        <f t="shared" si="159"/>
        <v>598431</v>
      </c>
      <c r="R203" s="32">
        <f t="shared" ref="R203:R210" si="163">ROUND(Q$2*$E203,0)</f>
        <v>598431</v>
      </c>
      <c r="S203" s="32">
        <f t="shared" si="149"/>
        <v>0</v>
      </c>
      <c r="T203" s="32">
        <f t="shared" si="139"/>
        <v>0</v>
      </c>
      <c r="U203" s="32">
        <f t="shared" si="154"/>
        <v>0</v>
      </c>
      <c r="V203" s="32">
        <f t="shared" si="154"/>
        <v>0</v>
      </c>
      <c r="W203" s="32">
        <f t="shared" si="154"/>
        <v>0</v>
      </c>
      <c r="X203" s="32">
        <f t="shared" si="140"/>
        <v>0</v>
      </c>
      <c r="Y203" s="32">
        <f t="shared" si="141"/>
        <v>0</v>
      </c>
      <c r="Z203" s="32">
        <f t="shared" si="154"/>
        <v>0</v>
      </c>
      <c r="AA203" s="32">
        <f t="shared" si="154"/>
        <v>0</v>
      </c>
      <c r="AB203" s="32">
        <f t="shared" si="154"/>
        <v>0</v>
      </c>
      <c r="AC203" s="32">
        <f t="shared" si="142"/>
        <v>0</v>
      </c>
      <c r="AD203" s="32">
        <f t="shared" si="143"/>
        <v>0</v>
      </c>
      <c r="AE203" s="32">
        <f t="shared" si="150"/>
        <v>0</v>
      </c>
      <c r="AF203" s="32">
        <f t="shared" si="144"/>
        <v>0</v>
      </c>
      <c r="AG203" s="32">
        <f t="shared" si="151"/>
        <v>0</v>
      </c>
      <c r="AH203" s="32">
        <f t="shared" si="145"/>
        <v>0</v>
      </c>
      <c r="AI203" s="32">
        <f t="shared" si="152"/>
        <v>0</v>
      </c>
      <c r="AJ203" s="32">
        <f t="shared" si="146"/>
        <v>0</v>
      </c>
      <c r="AK203" s="7">
        <v>0</v>
      </c>
      <c r="AL203" s="32">
        <v>0</v>
      </c>
      <c r="AM203" s="32">
        <v>0</v>
      </c>
      <c r="AN203" s="4">
        <v>0</v>
      </c>
      <c r="AO203" s="32">
        <f t="shared" ref="AO203:AO210" si="164">AK203+T203+Y203-AD203-AN203-AL203+AM203</f>
        <v>0</v>
      </c>
      <c r="AP203" s="32">
        <f t="shared" ref="AP203:AP210" si="165">J203-AO203</f>
        <v>0</v>
      </c>
      <c r="AS203" s="32">
        <f t="shared" ref="AS203:AS210" si="166">ROUND((IF(D203&gt;G203,D203-G203,0))*(AK$2-AL$2+AM$2),0)</f>
        <v>0</v>
      </c>
      <c r="AT203" s="32">
        <f t="shared" si="160"/>
        <v>0</v>
      </c>
      <c r="AU203" s="32">
        <f t="shared" ref="AU203:AU210" si="167">AS203-AT203</f>
        <v>0</v>
      </c>
      <c r="AV203" s="4">
        <f t="shared" ref="AV203:AV210" si="168">AT203</f>
        <v>0</v>
      </c>
      <c r="AW203" s="32">
        <f t="shared" ref="AW203:AW210" si="169">AU203-AV203</f>
        <v>0</v>
      </c>
      <c r="AX203" s="4">
        <f t="shared" ref="AX203:AX210" si="170">AV203</f>
        <v>0</v>
      </c>
      <c r="AY203" s="32">
        <f t="shared" ref="AY203:AY210" si="171">AW203-AX203</f>
        <v>0</v>
      </c>
      <c r="AZ203" s="4">
        <f t="shared" ref="AZ203:AZ210" si="172">AX203</f>
        <v>0</v>
      </c>
      <c r="BA203" s="32">
        <f t="shared" ref="BA203:BA210" si="173">AY203-AZ203</f>
        <v>0</v>
      </c>
      <c r="BB203" s="32">
        <f t="shared" si="161"/>
        <v>0</v>
      </c>
      <c r="BC203" s="32">
        <f t="shared" ref="BC203:BC210" si="174">BA203-BB203</f>
        <v>0</v>
      </c>
      <c r="BD203" s="32">
        <f t="shared" ref="BD203:BD210" si="175">BC203</f>
        <v>0</v>
      </c>
      <c r="BF203" s="32">
        <f t="shared" ref="BF203:BF210" si="176">ROUND((IF(D203&lt;G203,G203-D203,0))*(AK$2-AL$2+AM$2),0)</f>
        <v>0</v>
      </c>
      <c r="BG203" s="32">
        <f t="shared" si="162"/>
        <v>0</v>
      </c>
      <c r="BH203" s="32">
        <f t="shared" ref="BH203:BH210" si="177">BF203-BG203</f>
        <v>0</v>
      </c>
      <c r="BI203" s="4">
        <f t="shared" ref="BI203:BI210" si="178">BG203</f>
        <v>0</v>
      </c>
      <c r="BJ203" s="32">
        <f t="shared" ref="BJ203:BJ210" si="179">BH203-BI203</f>
        <v>0</v>
      </c>
      <c r="BK203" s="4">
        <f t="shared" ref="BK203:BK210" si="180">BI203</f>
        <v>0</v>
      </c>
      <c r="BL203" s="32">
        <f t="shared" ref="BL203:BL210" si="181">BJ203-BK203</f>
        <v>0</v>
      </c>
      <c r="BM203" s="4">
        <f t="shared" ref="BM203:BM210" si="182">BK203</f>
        <v>0</v>
      </c>
      <c r="BN203" s="32">
        <f t="shared" ref="BN203:BN210" si="183">BL203-BM203</f>
        <v>0</v>
      </c>
      <c r="BO203" s="32">
        <f t="shared" si="147"/>
        <v>0</v>
      </c>
      <c r="BP203" s="32">
        <f t="shared" ref="BP203:BP210" si="184">BN203-BO203</f>
        <v>0</v>
      </c>
      <c r="BQ203" s="32">
        <f t="shared" ref="BQ203:BQ210" si="185">BP203</f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  <c r="DO203" s="4">
        <v>0</v>
      </c>
      <c r="DP203" s="4">
        <v>0</v>
      </c>
      <c r="DQ203" s="4">
        <v>0</v>
      </c>
    </row>
    <row r="204" spans="1:121" x14ac:dyDescent="0.35">
      <c r="A204" s="84">
        <f>'2017 Prop share of contribs'!A207</f>
        <v>872</v>
      </c>
      <c r="B204" s="84" t="str">
        <f>'2017 Prop share of contribs'!B207</f>
        <v xml:space="preserve">Southeast South-Central Educational Cooperative  </v>
      </c>
      <c r="C204" s="25" t="s">
        <v>5</v>
      </c>
      <c r="D204" s="4">
        <f>ROUND('Employer Allocations'!G224,8)</f>
        <v>0</v>
      </c>
      <c r="E204" s="4">
        <f>ROUND('Employer Allocations'!H224,8)</f>
        <v>5.8619999999999998E-5</v>
      </c>
      <c r="F204" s="4">
        <f>ROUND('Employer Allocations'!I224,8)</f>
        <v>5.8619999999999998E-5</v>
      </c>
      <c r="G204" s="4">
        <v>0</v>
      </c>
      <c r="H204" s="4">
        <v>5.4440000000000001E-5</v>
      </c>
      <c r="I204" s="4">
        <v>5.4440000000000001E-5</v>
      </c>
      <c r="J204" s="7">
        <f t="shared" si="155"/>
        <v>0</v>
      </c>
      <c r="K204" s="7">
        <f t="shared" si="156"/>
        <v>1581728</v>
      </c>
      <c r="L204" s="7">
        <f t="shared" si="148"/>
        <v>1581728</v>
      </c>
      <c r="M204" s="7"/>
      <c r="N204" s="7">
        <f t="shared" si="157"/>
        <v>0</v>
      </c>
      <c r="O204" s="32">
        <f t="shared" si="158"/>
        <v>0</v>
      </c>
      <c r="P204" s="32"/>
      <c r="Q204" s="32">
        <f t="shared" si="159"/>
        <v>112595</v>
      </c>
      <c r="R204" s="32">
        <f t="shared" si="163"/>
        <v>112595</v>
      </c>
      <c r="S204" s="32">
        <f t="shared" si="149"/>
        <v>0</v>
      </c>
      <c r="T204" s="32">
        <f t="shared" si="139"/>
        <v>0</v>
      </c>
      <c r="U204" s="32">
        <f t="shared" si="154"/>
        <v>0</v>
      </c>
      <c r="V204" s="32">
        <f t="shared" si="154"/>
        <v>0</v>
      </c>
      <c r="W204" s="32">
        <f t="shared" si="154"/>
        <v>0</v>
      </c>
      <c r="X204" s="32">
        <f t="shared" si="140"/>
        <v>0</v>
      </c>
      <c r="Y204" s="32">
        <f t="shared" si="141"/>
        <v>0</v>
      </c>
      <c r="Z204" s="32">
        <f t="shared" si="154"/>
        <v>0</v>
      </c>
      <c r="AA204" s="32">
        <f t="shared" si="154"/>
        <v>0</v>
      </c>
      <c r="AB204" s="32">
        <f t="shared" si="154"/>
        <v>0</v>
      </c>
      <c r="AC204" s="32">
        <f t="shared" si="142"/>
        <v>0</v>
      </c>
      <c r="AD204" s="32">
        <f t="shared" si="143"/>
        <v>0</v>
      </c>
      <c r="AE204" s="32">
        <f t="shared" si="150"/>
        <v>0</v>
      </c>
      <c r="AF204" s="32">
        <f t="shared" si="144"/>
        <v>0</v>
      </c>
      <c r="AG204" s="32">
        <f t="shared" si="151"/>
        <v>0</v>
      </c>
      <c r="AH204" s="32">
        <f t="shared" si="145"/>
        <v>0</v>
      </c>
      <c r="AI204" s="32">
        <f t="shared" si="152"/>
        <v>0</v>
      </c>
      <c r="AJ204" s="32">
        <f t="shared" si="146"/>
        <v>0</v>
      </c>
      <c r="AK204" s="7">
        <v>0</v>
      </c>
      <c r="AL204" s="32">
        <v>0</v>
      </c>
      <c r="AM204" s="32">
        <v>0</v>
      </c>
      <c r="AN204" s="4">
        <v>0</v>
      </c>
      <c r="AO204" s="32">
        <f t="shared" si="164"/>
        <v>0</v>
      </c>
      <c r="AP204" s="32">
        <f t="shared" si="165"/>
        <v>0</v>
      </c>
      <c r="AS204" s="32">
        <f t="shared" si="166"/>
        <v>0</v>
      </c>
      <c r="AT204" s="32">
        <f t="shared" si="160"/>
        <v>0</v>
      </c>
      <c r="AU204" s="32">
        <f t="shared" si="167"/>
        <v>0</v>
      </c>
      <c r="AV204" s="4">
        <f t="shared" si="168"/>
        <v>0</v>
      </c>
      <c r="AW204" s="32">
        <f t="shared" si="169"/>
        <v>0</v>
      </c>
      <c r="AX204" s="4">
        <f t="shared" si="170"/>
        <v>0</v>
      </c>
      <c r="AY204" s="32">
        <f t="shared" si="171"/>
        <v>0</v>
      </c>
      <c r="AZ204" s="4">
        <f t="shared" si="172"/>
        <v>0</v>
      </c>
      <c r="BA204" s="32">
        <f t="shared" si="173"/>
        <v>0</v>
      </c>
      <c r="BB204" s="32">
        <f t="shared" si="161"/>
        <v>0</v>
      </c>
      <c r="BC204" s="32">
        <f t="shared" si="174"/>
        <v>0</v>
      </c>
      <c r="BD204" s="32">
        <f t="shared" si="175"/>
        <v>0</v>
      </c>
      <c r="BF204" s="32">
        <f t="shared" si="176"/>
        <v>0</v>
      </c>
      <c r="BG204" s="32">
        <f t="shared" si="162"/>
        <v>0</v>
      </c>
      <c r="BH204" s="32">
        <f t="shared" si="177"/>
        <v>0</v>
      </c>
      <c r="BI204" s="4">
        <f t="shared" si="178"/>
        <v>0</v>
      </c>
      <c r="BJ204" s="32">
        <f t="shared" si="179"/>
        <v>0</v>
      </c>
      <c r="BK204" s="4">
        <f t="shared" si="180"/>
        <v>0</v>
      </c>
      <c r="BL204" s="32">
        <f t="shared" si="181"/>
        <v>0</v>
      </c>
      <c r="BM204" s="4">
        <f t="shared" si="182"/>
        <v>0</v>
      </c>
      <c r="BN204" s="32">
        <f t="shared" si="183"/>
        <v>0</v>
      </c>
      <c r="BO204" s="32">
        <f t="shared" si="147"/>
        <v>0</v>
      </c>
      <c r="BP204" s="32">
        <f t="shared" si="184"/>
        <v>0</v>
      </c>
      <c r="BQ204" s="32">
        <f t="shared" si="185"/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  <c r="DO204" s="4">
        <v>0</v>
      </c>
      <c r="DP204" s="4">
        <v>0</v>
      </c>
      <c r="DQ204" s="4">
        <v>0</v>
      </c>
    </row>
    <row r="205" spans="1:121" x14ac:dyDescent="0.35">
      <c r="A205" s="84">
        <f>'2017 Prop share of contribs'!A208</f>
        <v>890</v>
      </c>
      <c r="B205" s="84" t="str">
        <f>'2017 Prop share of contribs'!B208</f>
        <v xml:space="preserve">GREEN RIVER REGIONAL EDUC COOP  </v>
      </c>
      <c r="C205" s="25" t="s">
        <v>294</v>
      </c>
      <c r="D205" s="4">
        <f>ROUND('Employer Allocations'!G225,8)</f>
        <v>0</v>
      </c>
      <c r="E205" s="4">
        <f>ROUND('Employer Allocations'!H225,8)</f>
        <v>3.3114E-4</v>
      </c>
      <c r="F205" s="4">
        <f>ROUND('Employer Allocations'!I225,8)</f>
        <v>3.3114E-4</v>
      </c>
      <c r="G205" s="4">
        <v>0</v>
      </c>
      <c r="H205" s="4">
        <v>3.7432999999999998E-4</v>
      </c>
      <c r="I205" s="4">
        <v>3.7432999999999998E-4</v>
      </c>
      <c r="J205" s="7">
        <f t="shared" si="155"/>
        <v>0</v>
      </c>
      <c r="K205" s="7">
        <f t="shared" si="156"/>
        <v>8935066</v>
      </c>
      <c r="L205" s="7">
        <f t="shared" si="148"/>
        <v>8935066</v>
      </c>
      <c r="M205" s="7"/>
      <c r="N205" s="7">
        <f t="shared" si="157"/>
        <v>0</v>
      </c>
      <c r="O205" s="32">
        <f t="shared" si="158"/>
        <v>0</v>
      </c>
      <c r="P205" s="32"/>
      <c r="Q205" s="32">
        <f t="shared" si="159"/>
        <v>636040</v>
      </c>
      <c r="R205" s="32">
        <f t="shared" si="163"/>
        <v>636040</v>
      </c>
      <c r="S205" s="32">
        <f t="shared" si="149"/>
        <v>0</v>
      </c>
      <c r="T205" s="32">
        <f t="shared" si="139"/>
        <v>0</v>
      </c>
      <c r="U205" s="32">
        <f t="shared" si="154"/>
        <v>0</v>
      </c>
      <c r="V205" s="32">
        <f t="shared" si="154"/>
        <v>0</v>
      </c>
      <c r="W205" s="32">
        <f t="shared" si="154"/>
        <v>0</v>
      </c>
      <c r="X205" s="32">
        <f t="shared" si="140"/>
        <v>0</v>
      </c>
      <c r="Y205" s="32">
        <f t="shared" si="141"/>
        <v>0</v>
      </c>
      <c r="Z205" s="32">
        <f t="shared" si="154"/>
        <v>0</v>
      </c>
      <c r="AA205" s="32">
        <f t="shared" si="154"/>
        <v>0</v>
      </c>
      <c r="AB205" s="32">
        <f t="shared" si="154"/>
        <v>0</v>
      </c>
      <c r="AC205" s="32">
        <f t="shared" si="142"/>
        <v>0</v>
      </c>
      <c r="AD205" s="32">
        <f t="shared" si="143"/>
        <v>0</v>
      </c>
      <c r="AE205" s="32">
        <f t="shared" si="150"/>
        <v>0</v>
      </c>
      <c r="AF205" s="32">
        <f t="shared" si="144"/>
        <v>0</v>
      </c>
      <c r="AG205" s="32">
        <f t="shared" si="151"/>
        <v>0</v>
      </c>
      <c r="AH205" s="32">
        <f t="shared" si="145"/>
        <v>0</v>
      </c>
      <c r="AI205" s="32">
        <f t="shared" si="152"/>
        <v>0</v>
      </c>
      <c r="AJ205" s="32">
        <f t="shared" si="146"/>
        <v>0</v>
      </c>
      <c r="AK205" s="7">
        <v>0</v>
      </c>
      <c r="AL205" s="32">
        <v>0</v>
      </c>
      <c r="AM205" s="32">
        <v>0</v>
      </c>
      <c r="AN205" s="4">
        <v>0</v>
      </c>
      <c r="AO205" s="32">
        <f t="shared" si="164"/>
        <v>0</v>
      </c>
      <c r="AP205" s="32">
        <f t="shared" si="165"/>
        <v>0</v>
      </c>
      <c r="AS205" s="32">
        <f t="shared" si="166"/>
        <v>0</v>
      </c>
      <c r="AT205" s="32">
        <f t="shared" si="160"/>
        <v>0</v>
      </c>
      <c r="AU205" s="32">
        <f t="shared" si="167"/>
        <v>0</v>
      </c>
      <c r="AV205" s="4">
        <f t="shared" si="168"/>
        <v>0</v>
      </c>
      <c r="AW205" s="32">
        <f t="shared" si="169"/>
        <v>0</v>
      </c>
      <c r="AX205" s="4">
        <f t="shared" si="170"/>
        <v>0</v>
      </c>
      <c r="AY205" s="32">
        <f t="shared" si="171"/>
        <v>0</v>
      </c>
      <c r="AZ205" s="4">
        <f t="shared" si="172"/>
        <v>0</v>
      </c>
      <c r="BA205" s="32">
        <f t="shared" si="173"/>
        <v>0</v>
      </c>
      <c r="BB205" s="32">
        <f t="shared" si="161"/>
        <v>0</v>
      </c>
      <c r="BC205" s="32">
        <f t="shared" si="174"/>
        <v>0</v>
      </c>
      <c r="BD205" s="32">
        <f t="shared" si="175"/>
        <v>0</v>
      </c>
      <c r="BF205" s="32">
        <f t="shared" si="176"/>
        <v>0</v>
      </c>
      <c r="BG205" s="32">
        <f t="shared" si="162"/>
        <v>0</v>
      </c>
      <c r="BH205" s="32">
        <f t="shared" si="177"/>
        <v>0</v>
      </c>
      <c r="BI205" s="4">
        <f t="shared" si="178"/>
        <v>0</v>
      </c>
      <c r="BJ205" s="32">
        <f t="shared" si="179"/>
        <v>0</v>
      </c>
      <c r="BK205" s="4">
        <f t="shared" si="180"/>
        <v>0</v>
      </c>
      <c r="BL205" s="32">
        <f t="shared" si="181"/>
        <v>0</v>
      </c>
      <c r="BM205" s="4">
        <f t="shared" si="182"/>
        <v>0</v>
      </c>
      <c r="BN205" s="32">
        <f t="shared" si="183"/>
        <v>0</v>
      </c>
      <c r="BO205" s="32">
        <f t="shared" si="147"/>
        <v>0</v>
      </c>
      <c r="BP205" s="32">
        <f t="shared" si="184"/>
        <v>0</v>
      </c>
      <c r="BQ205" s="32">
        <f t="shared" si="185"/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  <c r="DO205" s="4">
        <v>0</v>
      </c>
      <c r="DP205" s="4">
        <v>0</v>
      </c>
      <c r="DQ205" s="4">
        <v>0</v>
      </c>
    </row>
    <row r="206" spans="1:121" x14ac:dyDescent="0.35">
      <c r="A206" s="84">
        <f>'2017 Prop share of contribs'!A209</f>
        <v>891</v>
      </c>
      <c r="B206" s="84" t="str">
        <f>'2017 Prop share of contribs'!B209</f>
        <v xml:space="preserve">CENTRAL KY SPECIAL EDUC COOP  </v>
      </c>
      <c r="C206" s="25" t="s">
        <v>295</v>
      </c>
      <c r="D206" s="4">
        <f>ROUND('Employer Allocations'!G226,8)</f>
        <v>0</v>
      </c>
      <c r="E206" s="4">
        <f>ROUND('Employer Allocations'!H226,8)</f>
        <v>1.7526999999999999E-4</v>
      </c>
      <c r="F206" s="4">
        <f>ROUND('Employer Allocations'!I226,8)</f>
        <v>1.7526999999999999E-4</v>
      </c>
      <c r="G206" s="4">
        <v>0</v>
      </c>
      <c r="H206" s="4">
        <v>1.2872E-4</v>
      </c>
      <c r="I206" s="4">
        <v>1.2872E-4</v>
      </c>
      <c r="J206" s="7">
        <f t="shared" si="155"/>
        <v>0</v>
      </c>
      <c r="K206" s="7">
        <f t="shared" si="156"/>
        <v>4729266</v>
      </c>
      <c r="L206" s="7">
        <f t="shared" si="148"/>
        <v>4729266</v>
      </c>
      <c r="M206" s="7"/>
      <c r="N206" s="7">
        <f t="shared" si="157"/>
        <v>0</v>
      </c>
      <c r="O206" s="32">
        <f t="shared" si="158"/>
        <v>0</v>
      </c>
      <c r="P206" s="32"/>
      <c r="Q206" s="32">
        <f t="shared" si="159"/>
        <v>336651</v>
      </c>
      <c r="R206" s="32">
        <f t="shared" si="163"/>
        <v>336651</v>
      </c>
      <c r="S206" s="32">
        <f t="shared" si="149"/>
        <v>0</v>
      </c>
      <c r="T206" s="32">
        <f t="shared" si="139"/>
        <v>0</v>
      </c>
      <c r="U206" s="32">
        <f t="shared" si="154"/>
        <v>0</v>
      </c>
      <c r="V206" s="32">
        <f t="shared" si="154"/>
        <v>0</v>
      </c>
      <c r="W206" s="32">
        <f t="shared" si="154"/>
        <v>0</v>
      </c>
      <c r="X206" s="32">
        <f t="shared" si="140"/>
        <v>0</v>
      </c>
      <c r="Y206" s="32">
        <f t="shared" si="141"/>
        <v>0</v>
      </c>
      <c r="Z206" s="32">
        <f t="shared" si="154"/>
        <v>0</v>
      </c>
      <c r="AA206" s="32">
        <f t="shared" si="154"/>
        <v>0</v>
      </c>
      <c r="AB206" s="32">
        <f t="shared" si="154"/>
        <v>0</v>
      </c>
      <c r="AC206" s="32">
        <f t="shared" si="142"/>
        <v>0</v>
      </c>
      <c r="AD206" s="32">
        <f t="shared" si="143"/>
        <v>0</v>
      </c>
      <c r="AE206" s="32">
        <f t="shared" si="150"/>
        <v>0</v>
      </c>
      <c r="AF206" s="32">
        <f t="shared" si="144"/>
        <v>0</v>
      </c>
      <c r="AG206" s="32">
        <f t="shared" si="151"/>
        <v>0</v>
      </c>
      <c r="AH206" s="32">
        <f t="shared" si="145"/>
        <v>0</v>
      </c>
      <c r="AI206" s="32">
        <f t="shared" si="152"/>
        <v>0</v>
      </c>
      <c r="AJ206" s="32">
        <f t="shared" si="146"/>
        <v>0</v>
      </c>
      <c r="AK206" s="7">
        <v>0</v>
      </c>
      <c r="AL206" s="32">
        <v>0</v>
      </c>
      <c r="AM206" s="32">
        <v>0</v>
      </c>
      <c r="AN206" s="4">
        <v>0</v>
      </c>
      <c r="AO206" s="32">
        <f t="shared" si="164"/>
        <v>0</v>
      </c>
      <c r="AP206" s="32">
        <f t="shared" si="165"/>
        <v>0</v>
      </c>
      <c r="AS206" s="32">
        <f t="shared" si="166"/>
        <v>0</v>
      </c>
      <c r="AT206" s="32">
        <f t="shared" si="160"/>
        <v>0</v>
      </c>
      <c r="AU206" s="32">
        <f t="shared" si="167"/>
        <v>0</v>
      </c>
      <c r="AV206" s="4">
        <f t="shared" si="168"/>
        <v>0</v>
      </c>
      <c r="AW206" s="32">
        <f t="shared" si="169"/>
        <v>0</v>
      </c>
      <c r="AX206" s="4">
        <f t="shared" si="170"/>
        <v>0</v>
      </c>
      <c r="AY206" s="32">
        <f t="shared" si="171"/>
        <v>0</v>
      </c>
      <c r="AZ206" s="4">
        <f t="shared" si="172"/>
        <v>0</v>
      </c>
      <c r="BA206" s="32">
        <f t="shared" si="173"/>
        <v>0</v>
      </c>
      <c r="BB206" s="32">
        <f t="shared" si="161"/>
        <v>0</v>
      </c>
      <c r="BC206" s="32">
        <f t="shared" si="174"/>
        <v>0</v>
      </c>
      <c r="BD206" s="32">
        <f t="shared" si="175"/>
        <v>0</v>
      </c>
      <c r="BF206" s="32">
        <f t="shared" si="176"/>
        <v>0</v>
      </c>
      <c r="BG206" s="32">
        <f t="shared" si="162"/>
        <v>0</v>
      </c>
      <c r="BH206" s="32">
        <f t="shared" si="177"/>
        <v>0</v>
      </c>
      <c r="BI206" s="4">
        <f t="shared" si="178"/>
        <v>0</v>
      </c>
      <c r="BJ206" s="32">
        <f t="shared" si="179"/>
        <v>0</v>
      </c>
      <c r="BK206" s="4">
        <f t="shared" si="180"/>
        <v>0</v>
      </c>
      <c r="BL206" s="32">
        <f t="shared" si="181"/>
        <v>0</v>
      </c>
      <c r="BM206" s="4">
        <f t="shared" si="182"/>
        <v>0</v>
      </c>
      <c r="BN206" s="32">
        <f t="shared" si="183"/>
        <v>0</v>
      </c>
      <c r="BO206" s="32">
        <f t="shared" si="147"/>
        <v>0</v>
      </c>
      <c r="BP206" s="32">
        <f t="shared" si="184"/>
        <v>0</v>
      </c>
      <c r="BQ206" s="32">
        <f t="shared" si="185"/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  <c r="DO206" s="4">
        <v>0</v>
      </c>
      <c r="DP206" s="4">
        <v>0</v>
      </c>
      <c r="DQ206" s="4">
        <v>0</v>
      </c>
    </row>
    <row r="207" spans="1:121" x14ac:dyDescent="0.35">
      <c r="A207" s="84">
        <f>'2017 Prop share of contribs'!A210</f>
        <v>892</v>
      </c>
      <c r="B207" s="84" t="str">
        <f>'2017 Prop share of contribs'!B210</f>
        <v xml:space="preserve">KENTUCKY VALLEY EDUC COOPERATIVE  </v>
      </c>
      <c r="C207" s="25" t="s">
        <v>299</v>
      </c>
      <c r="D207" s="4">
        <f>ROUND('Employer Allocations'!G227,8)</f>
        <v>0</v>
      </c>
      <c r="E207" s="4">
        <f>ROUND('Employer Allocations'!H227,8)</f>
        <v>2.3856999999999999E-4</v>
      </c>
      <c r="F207" s="4">
        <f>ROUND('Employer Allocations'!I227,8)</f>
        <v>2.3856999999999999E-4</v>
      </c>
      <c r="G207" s="4">
        <v>0</v>
      </c>
      <c r="H207" s="4">
        <v>2.1316E-4</v>
      </c>
      <c r="I207" s="4">
        <v>2.1316E-4</v>
      </c>
      <c r="J207" s="7">
        <f t="shared" si="155"/>
        <v>0</v>
      </c>
      <c r="K207" s="7">
        <f t="shared" si="156"/>
        <v>6437273</v>
      </c>
      <c r="L207" s="7">
        <f t="shared" si="148"/>
        <v>6437273</v>
      </c>
      <c r="M207" s="7"/>
      <c r="N207" s="7">
        <f t="shared" si="157"/>
        <v>0</v>
      </c>
      <c r="O207" s="32">
        <f t="shared" si="158"/>
        <v>0</v>
      </c>
      <c r="P207" s="32"/>
      <c r="Q207" s="32">
        <f t="shared" si="159"/>
        <v>458235</v>
      </c>
      <c r="R207" s="32">
        <f t="shared" si="163"/>
        <v>458235</v>
      </c>
      <c r="S207" s="32">
        <f t="shared" si="149"/>
        <v>0</v>
      </c>
      <c r="T207" s="32">
        <f t="shared" si="139"/>
        <v>0</v>
      </c>
      <c r="U207" s="32">
        <f t="shared" si="154"/>
        <v>0</v>
      </c>
      <c r="V207" s="32">
        <f t="shared" si="154"/>
        <v>0</v>
      </c>
      <c r="W207" s="32">
        <f t="shared" si="154"/>
        <v>0</v>
      </c>
      <c r="X207" s="32">
        <f t="shared" si="140"/>
        <v>0</v>
      </c>
      <c r="Y207" s="32">
        <f t="shared" si="141"/>
        <v>0</v>
      </c>
      <c r="Z207" s="32">
        <f t="shared" si="154"/>
        <v>0</v>
      </c>
      <c r="AA207" s="32">
        <f t="shared" si="154"/>
        <v>0</v>
      </c>
      <c r="AB207" s="32">
        <f t="shared" si="154"/>
        <v>0</v>
      </c>
      <c r="AC207" s="32">
        <f t="shared" si="142"/>
        <v>0</v>
      </c>
      <c r="AD207" s="32">
        <f t="shared" si="143"/>
        <v>0</v>
      </c>
      <c r="AE207" s="32">
        <f t="shared" si="150"/>
        <v>0</v>
      </c>
      <c r="AF207" s="32">
        <f t="shared" si="144"/>
        <v>0</v>
      </c>
      <c r="AG207" s="32">
        <f t="shared" si="151"/>
        <v>0</v>
      </c>
      <c r="AH207" s="32">
        <f t="shared" si="145"/>
        <v>0</v>
      </c>
      <c r="AI207" s="32">
        <f t="shared" si="152"/>
        <v>0</v>
      </c>
      <c r="AJ207" s="32">
        <f t="shared" si="146"/>
        <v>0</v>
      </c>
      <c r="AK207" s="7">
        <v>0</v>
      </c>
      <c r="AL207" s="32">
        <v>0</v>
      </c>
      <c r="AM207" s="32">
        <v>0</v>
      </c>
      <c r="AN207" s="4">
        <v>0</v>
      </c>
      <c r="AO207" s="32">
        <f t="shared" si="164"/>
        <v>0</v>
      </c>
      <c r="AP207" s="32">
        <f t="shared" si="165"/>
        <v>0</v>
      </c>
      <c r="AS207" s="32">
        <f t="shared" si="166"/>
        <v>0</v>
      </c>
      <c r="AT207" s="32">
        <f t="shared" si="160"/>
        <v>0</v>
      </c>
      <c r="AU207" s="32">
        <f t="shared" si="167"/>
        <v>0</v>
      </c>
      <c r="AV207" s="4">
        <f t="shared" si="168"/>
        <v>0</v>
      </c>
      <c r="AW207" s="32">
        <f t="shared" si="169"/>
        <v>0</v>
      </c>
      <c r="AX207" s="4">
        <f t="shared" si="170"/>
        <v>0</v>
      </c>
      <c r="AY207" s="32">
        <f t="shared" si="171"/>
        <v>0</v>
      </c>
      <c r="AZ207" s="4">
        <f t="shared" si="172"/>
        <v>0</v>
      </c>
      <c r="BA207" s="32">
        <f t="shared" si="173"/>
        <v>0</v>
      </c>
      <c r="BB207" s="32">
        <f t="shared" si="161"/>
        <v>0</v>
      </c>
      <c r="BC207" s="32">
        <f t="shared" si="174"/>
        <v>0</v>
      </c>
      <c r="BD207" s="32">
        <f t="shared" si="175"/>
        <v>0</v>
      </c>
      <c r="BF207" s="32">
        <f t="shared" si="176"/>
        <v>0</v>
      </c>
      <c r="BG207" s="32">
        <f t="shared" si="162"/>
        <v>0</v>
      </c>
      <c r="BH207" s="32">
        <f t="shared" si="177"/>
        <v>0</v>
      </c>
      <c r="BI207" s="4">
        <f t="shared" si="178"/>
        <v>0</v>
      </c>
      <c r="BJ207" s="32">
        <f t="shared" si="179"/>
        <v>0</v>
      </c>
      <c r="BK207" s="4">
        <f t="shared" si="180"/>
        <v>0</v>
      </c>
      <c r="BL207" s="32">
        <f t="shared" si="181"/>
        <v>0</v>
      </c>
      <c r="BM207" s="4">
        <f t="shared" si="182"/>
        <v>0</v>
      </c>
      <c r="BN207" s="32">
        <f t="shared" si="183"/>
        <v>0</v>
      </c>
      <c r="BO207" s="32">
        <f t="shared" si="147"/>
        <v>0</v>
      </c>
      <c r="BP207" s="32">
        <f t="shared" si="184"/>
        <v>0</v>
      </c>
      <c r="BQ207" s="32">
        <f t="shared" si="185"/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  <c r="DO207" s="4">
        <v>0</v>
      </c>
      <c r="DP207" s="4">
        <v>0</v>
      </c>
      <c r="DQ207" s="4">
        <v>0</v>
      </c>
    </row>
    <row r="208" spans="1:121" x14ac:dyDescent="0.35">
      <c r="A208" s="84">
        <f>'2017 Prop share of contribs'!A211</f>
        <v>894</v>
      </c>
      <c r="B208" s="84" t="str">
        <f>'2017 Prop share of contribs'!B211</f>
        <v xml:space="preserve">KENTUCKY EDUC DEVELOPMENT CORP  </v>
      </c>
      <c r="C208" s="25" t="s">
        <v>296</v>
      </c>
      <c r="D208" s="4">
        <f>ROUND('Employer Allocations'!G228,8)</f>
        <v>0</v>
      </c>
      <c r="E208" s="4">
        <f>ROUND('Employer Allocations'!H228,8)</f>
        <v>5.4060000000000002E-4</v>
      </c>
      <c r="F208" s="4">
        <f>ROUND('Employer Allocations'!I228,8)</f>
        <v>5.4060000000000002E-4</v>
      </c>
      <c r="G208" s="4">
        <v>0</v>
      </c>
      <c r="H208" s="4">
        <v>5.5352000000000005E-4</v>
      </c>
      <c r="I208" s="4">
        <v>5.5352000000000005E-4</v>
      </c>
      <c r="J208" s="7">
        <f t="shared" si="155"/>
        <v>0</v>
      </c>
      <c r="K208" s="7">
        <f t="shared" si="156"/>
        <v>14586872</v>
      </c>
      <c r="L208" s="7">
        <f t="shared" si="148"/>
        <v>14586872</v>
      </c>
      <c r="M208" s="7"/>
      <c r="N208" s="7">
        <f t="shared" si="157"/>
        <v>0</v>
      </c>
      <c r="O208" s="32">
        <f t="shared" si="158"/>
        <v>0</v>
      </c>
      <c r="P208" s="32"/>
      <c r="Q208" s="32">
        <f t="shared" si="159"/>
        <v>1038362</v>
      </c>
      <c r="R208" s="32">
        <f t="shared" si="163"/>
        <v>1038362</v>
      </c>
      <c r="S208" s="32">
        <f t="shared" si="149"/>
        <v>0</v>
      </c>
      <c r="T208" s="32">
        <f t="shared" si="139"/>
        <v>0</v>
      </c>
      <c r="U208" s="32">
        <f t="shared" si="154"/>
        <v>0</v>
      </c>
      <c r="V208" s="32">
        <f t="shared" si="154"/>
        <v>0</v>
      </c>
      <c r="W208" s="32">
        <f t="shared" si="154"/>
        <v>0</v>
      </c>
      <c r="X208" s="32">
        <f t="shared" si="140"/>
        <v>0</v>
      </c>
      <c r="Y208" s="32">
        <f t="shared" si="141"/>
        <v>0</v>
      </c>
      <c r="Z208" s="32">
        <f t="shared" si="154"/>
        <v>0</v>
      </c>
      <c r="AA208" s="32">
        <f t="shared" si="154"/>
        <v>0</v>
      </c>
      <c r="AB208" s="32">
        <f t="shared" si="154"/>
        <v>0</v>
      </c>
      <c r="AC208" s="32">
        <f t="shared" si="142"/>
        <v>0</v>
      </c>
      <c r="AD208" s="32">
        <f t="shared" si="143"/>
        <v>0</v>
      </c>
      <c r="AE208" s="32">
        <f t="shared" si="150"/>
        <v>0</v>
      </c>
      <c r="AF208" s="32">
        <f t="shared" si="144"/>
        <v>0</v>
      </c>
      <c r="AG208" s="32">
        <f t="shared" si="151"/>
        <v>0</v>
      </c>
      <c r="AH208" s="32">
        <f t="shared" si="145"/>
        <v>0</v>
      </c>
      <c r="AI208" s="32">
        <f t="shared" si="152"/>
        <v>0</v>
      </c>
      <c r="AJ208" s="32">
        <f t="shared" si="146"/>
        <v>0</v>
      </c>
      <c r="AK208" s="7">
        <v>0</v>
      </c>
      <c r="AL208" s="32">
        <v>0</v>
      </c>
      <c r="AM208" s="32">
        <v>0</v>
      </c>
      <c r="AN208" s="4">
        <v>0</v>
      </c>
      <c r="AO208" s="32">
        <f t="shared" si="164"/>
        <v>0</v>
      </c>
      <c r="AP208" s="32">
        <f t="shared" si="165"/>
        <v>0</v>
      </c>
      <c r="AS208" s="32">
        <f t="shared" si="166"/>
        <v>0</v>
      </c>
      <c r="AT208" s="32">
        <f t="shared" si="160"/>
        <v>0</v>
      </c>
      <c r="AU208" s="32">
        <f t="shared" si="167"/>
        <v>0</v>
      </c>
      <c r="AV208" s="4">
        <f t="shared" si="168"/>
        <v>0</v>
      </c>
      <c r="AW208" s="32">
        <f t="shared" si="169"/>
        <v>0</v>
      </c>
      <c r="AX208" s="4">
        <f t="shared" si="170"/>
        <v>0</v>
      </c>
      <c r="AY208" s="32">
        <f t="shared" si="171"/>
        <v>0</v>
      </c>
      <c r="AZ208" s="4">
        <f t="shared" si="172"/>
        <v>0</v>
      </c>
      <c r="BA208" s="32">
        <f t="shared" si="173"/>
        <v>0</v>
      </c>
      <c r="BB208" s="32">
        <f t="shared" si="161"/>
        <v>0</v>
      </c>
      <c r="BC208" s="32">
        <f t="shared" si="174"/>
        <v>0</v>
      </c>
      <c r="BD208" s="32">
        <f t="shared" si="175"/>
        <v>0</v>
      </c>
      <c r="BF208" s="32">
        <f t="shared" si="176"/>
        <v>0</v>
      </c>
      <c r="BG208" s="32">
        <f t="shared" si="162"/>
        <v>0</v>
      </c>
      <c r="BH208" s="32">
        <f t="shared" si="177"/>
        <v>0</v>
      </c>
      <c r="BI208" s="4">
        <f t="shared" si="178"/>
        <v>0</v>
      </c>
      <c r="BJ208" s="32">
        <f t="shared" si="179"/>
        <v>0</v>
      </c>
      <c r="BK208" s="4">
        <f t="shared" si="180"/>
        <v>0</v>
      </c>
      <c r="BL208" s="32">
        <f t="shared" si="181"/>
        <v>0</v>
      </c>
      <c r="BM208" s="4">
        <f t="shared" si="182"/>
        <v>0</v>
      </c>
      <c r="BN208" s="32">
        <f t="shared" si="183"/>
        <v>0</v>
      </c>
      <c r="BO208" s="32">
        <f t="shared" si="147"/>
        <v>0</v>
      </c>
      <c r="BP208" s="32">
        <f t="shared" si="184"/>
        <v>0</v>
      </c>
      <c r="BQ208" s="32">
        <f t="shared" si="185"/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  <c r="DO208" s="4">
        <v>0</v>
      </c>
      <c r="DP208" s="4">
        <v>0</v>
      </c>
      <c r="DQ208" s="4">
        <v>0</v>
      </c>
    </row>
    <row r="209" spans="1:121" x14ac:dyDescent="0.35">
      <c r="A209" s="84">
        <f>'2017 Prop share of contribs'!A212</f>
        <v>895</v>
      </c>
      <c r="B209" s="84" t="str">
        <f>'2017 Prop share of contribs'!B212</f>
        <v xml:space="preserve">N KY COOP FOR EDUC SERVICES  </v>
      </c>
      <c r="C209" s="25" t="s">
        <v>297</v>
      </c>
      <c r="D209" s="4">
        <f>ROUND('Employer Allocations'!G229,8)</f>
        <v>0</v>
      </c>
      <c r="E209" s="4">
        <f>ROUND('Employer Allocations'!H229,8)</f>
        <v>4.3586999999999999E-4</v>
      </c>
      <c r="F209" s="4">
        <f>ROUND('Employer Allocations'!I229,8)</f>
        <v>4.3586999999999999E-4</v>
      </c>
      <c r="G209" s="4">
        <v>0</v>
      </c>
      <c r="H209" s="4">
        <v>4.5550000000000001E-4</v>
      </c>
      <c r="I209" s="4">
        <v>4.5550000000000001E-4</v>
      </c>
      <c r="J209" s="7">
        <f t="shared" si="155"/>
        <v>0</v>
      </c>
      <c r="K209" s="7">
        <f t="shared" si="156"/>
        <v>11760969</v>
      </c>
      <c r="L209" s="7">
        <f t="shared" si="148"/>
        <v>11760969</v>
      </c>
      <c r="M209" s="7"/>
      <c r="N209" s="7">
        <f t="shared" si="157"/>
        <v>0</v>
      </c>
      <c r="O209" s="32">
        <f t="shared" si="158"/>
        <v>0</v>
      </c>
      <c r="P209" s="32"/>
      <c r="Q209" s="32">
        <f t="shared" si="159"/>
        <v>837201</v>
      </c>
      <c r="R209" s="32">
        <f t="shared" si="163"/>
        <v>837201</v>
      </c>
      <c r="S209" s="32">
        <f t="shared" si="149"/>
        <v>0</v>
      </c>
      <c r="T209" s="32">
        <f t="shared" si="139"/>
        <v>0</v>
      </c>
      <c r="U209" s="32">
        <f t="shared" si="154"/>
        <v>0</v>
      </c>
      <c r="V209" s="32">
        <f t="shared" si="154"/>
        <v>0</v>
      </c>
      <c r="W209" s="32">
        <f t="shared" si="154"/>
        <v>0</v>
      </c>
      <c r="X209" s="32">
        <f t="shared" si="140"/>
        <v>0</v>
      </c>
      <c r="Y209" s="32">
        <f t="shared" si="141"/>
        <v>0</v>
      </c>
      <c r="Z209" s="32">
        <f t="shared" si="154"/>
        <v>0</v>
      </c>
      <c r="AA209" s="32">
        <f t="shared" si="154"/>
        <v>0</v>
      </c>
      <c r="AB209" s="32">
        <f t="shared" si="154"/>
        <v>0</v>
      </c>
      <c r="AC209" s="32">
        <f t="shared" si="142"/>
        <v>0</v>
      </c>
      <c r="AD209" s="32">
        <f t="shared" si="143"/>
        <v>0</v>
      </c>
      <c r="AE209" s="32">
        <f t="shared" si="150"/>
        <v>0</v>
      </c>
      <c r="AF209" s="32">
        <f t="shared" si="144"/>
        <v>0</v>
      </c>
      <c r="AG209" s="32">
        <f t="shared" si="151"/>
        <v>0</v>
      </c>
      <c r="AH209" s="32">
        <f t="shared" si="145"/>
        <v>0</v>
      </c>
      <c r="AI209" s="32">
        <f t="shared" si="152"/>
        <v>0</v>
      </c>
      <c r="AJ209" s="32">
        <f t="shared" si="146"/>
        <v>0</v>
      </c>
      <c r="AK209" s="7">
        <v>0</v>
      </c>
      <c r="AL209" s="32">
        <v>0</v>
      </c>
      <c r="AM209" s="32">
        <v>0</v>
      </c>
      <c r="AN209" s="4">
        <v>0</v>
      </c>
      <c r="AO209" s="32">
        <f t="shared" si="164"/>
        <v>0</v>
      </c>
      <c r="AP209" s="32">
        <f t="shared" si="165"/>
        <v>0</v>
      </c>
      <c r="AS209" s="32">
        <f t="shared" si="166"/>
        <v>0</v>
      </c>
      <c r="AT209" s="32">
        <f t="shared" si="160"/>
        <v>0</v>
      </c>
      <c r="AU209" s="32">
        <f t="shared" si="167"/>
        <v>0</v>
      </c>
      <c r="AV209" s="4">
        <f t="shared" si="168"/>
        <v>0</v>
      </c>
      <c r="AW209" s="32">
        <f t="shared" si="169"/>
        <v>0</v>
      </c>
      <c r="AX209" s="4">
        <f t="shared" si="170"/>
        <v>0</v>
      </c>
      <c r="AY209" s="32">
        <f t="shared" si="171"/>
        <v>0</v>
      </c>
      <c r="AZ209" s="4">
        <f t="shared" si="172"/>
        <v>0</v>
      </c>
      <c r="BA209" s="32">
        <f t="shared" si="173"/>
        <v>0</v>
      </c>
      <c r="BB209" s="32">
        <f t="shared" si="161"/>
        <v>0</v>
      </c>
      <c r="BC209" s="32">
        <f t="shared" si="174"/>
        <v>0</v>
      </c>
      <c r="BD209" s="32">
        <f t="shared" si="175"/>
        <v>0</v>
      </c>
      <c r="BF209" s="32">
        <f t="shared" si="176"/>
        <v>0</v>
      </c>
      <c r="BG209" s="32">
        <f t="shared" si="162"/>
        <v>0</v>
      </c>
      <c r="BH209" s="32">
        <f t="shared" si="177"/>
        <v>0</v>
      </c>
      <c r="BI209" s="4">
        <f t="shared" si="178"/>
        <v>0</v>
      </c>
      <c r="BJ209" s="32">
        <f t="shared" si="179"/>
        <v>0</v>
      </c>
      <c r="BK209" s="4">
        <f t="shared" si="180"/>
        <v>0</v>
      </c>
      <c r="BL209" s="32">
        <f t="shared" si="181"/>
        <v>0</v>
      </c>
      <c r="BM209" s="4">
        <f t="shared" si="182"/>
        <v>0</v>
      </c>
      <c r="BN209" s="32">
        <f t="shared" si="183"/>
        <v>0</v>
      </c>
      <c r="BO209" s="32">
        <f t="shared" si="147"/>
        <v>0</v>
      </c>
      <c r="BP209" s="32">
        <f t="shared" si="184"/>
        <v>0</v>
      </c>
      <c r="BQ209" s="32">
        <f t="shared" si="185"/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  <c r="DO209" s="4">
        <v>0</v>
      </c>
      <c r="DP209" s="4">
        <v>0</v>
      </c>
      <c r="DQ209" s="4">
        <v>0</v>
      </c>
    </row>
    <row r="210" spans="1:121" x14ac:dyDescent="0.35">
      <c r="A210" s="85">
        <f>'2017 Prop share of contribs'!A213</f>
        <v>896</v>
      </c>
      <c r="B210" s="85" t="str">
        <f>'2017 Prop share of contribs'!B213</f>
        <v xml:space="preserve">EDUC PROFESSIONAL STANDARDS BD  </v>
      </c>
      <c r="C210" s="25" t="s">
        <v>119</v>
      </c>
      <c r="D210" s="4">
        <f>ROUND('Employer Allocations'!G42,8)</f>
        <v>1.3313999999999999E-4</v>
      </c>
      <c r="E210" s="4">
        <f>ROUND('Employer Allocations'!H42,8)</f>
        <v>1.8615999999999999E-4</v>
      </c>
      <c r="F210" s="4">
        <f>ROUND('Employer Allocations'!I42,8)</f>
        <v>3.1930000000000001E-4</v>
      </c>
      <c r="G210" s="4">
        <v>2.1636999999999999E-4</v>
      </c>
      <c r="H210" s="4">
        <v>3.5830000000000001E-5</v>
      </c>
      <c r="I210" s="4">
        <v>2.5221E-4</v>
      </c>
      <c r="J210" s="7">
        <f t="shared" si="155"/>
        <v>3592483</v>
      </c>
      <c r="K210" s="7">
        <f t="shared" si="156"/>
        <v>5023108</v>
      </c>
      <c r="L210" s="7">
        <f t="shared" si="148"/>
        <v>8615591</v>
      </c>
      <c r="M210" s="7"/>
      <c r="N210" s="7">
        <f t="shared" si="157"/>
        <v>4453183</v>
      </c>
      <c r="O210" s="32">
        <f t="shared" si="158"/>
        <v>3199544</v>
      </c>
      <c r="P210" s="32"/>
      <c r="Q210" s="32">
        <f t="shared" si="159"/>
        <v>613298</v>
      </c>
      <c r="R210" s="32">
        <f t="shared" si="163"/>
        <v>357568</v>
      </c>
      <c r="S210" s="32">
        <f t="shared" si="149"/>
        <v>255730</v>
      </c>
      <c r="T210" s="32">
        <f t="shared" si="139"/>
        <v>-461109</v>
      </c>
      <c r="U210" s="32">
        <f t="shared" si="154"/>
        <v>19402</v>
      </c>
      <c r="V210" s="32">
        <f t="shared" si="154"/>
        <v>423883</v>
      </c>
      <c r="W210" s="32">
        <f t="shared" si="154"/>
        <v>0</v>
      </c>
      <c r="X210" s="32">
        <f t="shared" si="140"/>
        <v>266722</v>
      </c>
      <c r="Y210" s="32">
        <f>SUM(U210+V210+W210+X210)</f>
        <v>710007</v>
      </c>
      <c r="Z210" s="32">
        <f t="shared" si="154"/>
        <v>19566</v>
      </c>
      <c r="AA210" s="32">
        <f t="shared" si="154"/>
        <v>239977</v>
      </c>
      <c r="AB210" s="32">
        <f t="shared" si="154"/>
        <v>24428</v>
      </c>
      <c r="AC210" s="32">
        <f t="shared" si="142"/>
        <v>2837171</v>
      </c>
      <c r="AD210" s="32">
        <f t="shared" si="143"/>
        <v>3121142</v>
      </c>
      <c r="AE210" s="32">
        <f t="shared" si="150"/>
        <v>-679294</v>
      </c>
      <c r="AF210" s="32">
        <f t="shared" si="144"/>
        <v>-636514</v>
      </c>
      <c r="AG210" s="32">
        <f t="shared" si="151"/>
        <v>-768492</v>
      </c>
      <c r="AH210" s="32">
        <f t="shared" si="145"/>
        <v>-326835</v>
      </c>
      <c r="AI210" s="32">
        <f t="shared" si="152"/>
        <v>0</v>
      </c>
      <c r="AJ210" s="32">
        <f t="shared" si="146"/>
        <v>0</v>
      </c>
      <c r="AK210" s="7">
        <v>6382938</v>
      </c>
      <c r="AL210" s="32">
        <v>1480455</v>
      </c>
      <c r="AM210" s="32">
        <v>1689881</v>
      </c>
      <c r="AN210" s="7">
        <f>'Employer Allocations'!B42</f>
        <v>127642</v>
      </c>
      <c r="AO210" s="32">
        <f t="shared" si="164"/>
        <v>3592478</v>
      </c>
      <c r="AP210" s="32">
        <f t="shared" si="165"/>
        <v>5</v>
      </c>
      <c r="AS210" s="32">
        <f t="shared" si="166"/>
        <v>0</v>
      </c>
      <c r="AT210" s="32">
        <f t="shared" si="160"/>
        <v>0</v>
      </c>
      <c r="AU210" s="32">
        <f t="shared" si="167"/>
        <v>0</v>
      </c>
      <c r="AV210" s="4">
        <f t="shared" si="168"/>
        <v>0</v>
      </c>
      <c r="AW210" s="32">
        <f t="shared" si="169"/>
        <v>0</v>
      </c>
      <c r="AX210" s="4">
        <f t="shared" si="170"/>
        <v>0</v>
      </c>
      <c r="AY210" s="32">
        <f t="shared" si="171"/>
        <v>0</v>
      </c>
      <c r="AZ210" s="4">
        <f t="shared" si="172"/>
        <v>0</v>
      </c>
      <c r="BA210" s="32">
        <f t="shared" si="173"/>
        <v>0</v>
      </c>
      <c r="BB210" s="32">
        <f t="shared" si="161"/>
        <v>0</v>
      </c>
      <c r="BC210" s="32">
        <f t="shared" si="174"/>
        <v>0</v>
      </c>
      <c r="BD210" s="32">
        <f t="shared" si="175"/>
        <v>0</v>
      </c>
      <c r="BF210" s="32">
        <f t="shared" si="176"/>
        <v>2066108</v>
      </c>
      <c r="BG210" s="32">
        <f t="shared" si="162"/>
        <v>480490</v>
      </c>
      <c r="BH210" s="32">
        <f t="shared" si="177"/>
        <v>1585618</v>
      </c>
      <c r="BI210" s="4">
        <f t="shared" si="178"/>
        <v>480490</v>
      </c>
      <c r="BJ210" s="32">
        <f t="shared" si="179"/>
        <v>1105128</v>
      </c>
      <c r="BK210" s="4">
        <f t="shared" si="180"/>
        <v>480490</v>
      </c>
      <c r="BL210" s="32">
        <f t="shared" si="181"/>
        <v>624638</v>
      </c>
      <c r="BM210" s="4">
        <f t="shared" si="182"/>
        <v>480490</v>
      </c>
      <c r="BN210" s="32">
        <f t="shared" si="183"/>
        <v>144148</v>
      </c>
      <c r="BO210" s="32">
        <f t="shared" si="147"/>
        <v>144148</v>
      </c>
      <c r="BP210" s="32">
        <f t="shared" si="184"/>
        <v>0</v>
      </c>
      <c r="BQ210" s="32">
        <f t="shared" si="185"/>
        <v>0</v>
      </c>
      <c r="BS210" s="4">
        <v>630433</v>
      </c>
      <c r="BT210" s="4">
        <v>121237</v>
      </c>
      <c r="BU210" s="4">
        <v>509196</v>
      </c>
      <c r="BV210" s="4">
        <v>121237</v>
      </c>
      <c r="BW210" s="4">
        <v>387959</v>
      </c>
      <c r="BX210" s="4">
        <v>121237</v>
      </c>
      <c r="BY210" s="4">
        <v>266722</v>
      </c>
      <c r="BZ210" s="4">
        <v>121237</v>
      </c>
      <c r="CA210" s="4">
        <v>145485</v>
      </c>
      <c r="CB210" s="4">
        <v>121237</v>
      </c>
      <c r="CC210" s="4">
        <v>24248</v>
      </c>
      <c r="CD210" s="4">
        <v>24248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F210" s="4">
        <v>1966725</v>
      </c>
      <c r="DG210" s="4">
        <v>357586</v>
      </c>
      <c r="DH210" s="4">
        <v>1609139</v>
      </c>
      <c r="DI210" s="4">
        <v>357586</v>
      </c>
      <c r="DJ210" s="4">
        <v>1251553</v>
      </c>
      <c r="DK210" s="4">
        <v>357586</v>
      </c>
      <c r="DL210" s="4">
        <v>893967</v>
      </c>
      <c r="DM210" s="4">
        <v>357586</v>
      </c>
      <c r="DN210" s="4">
        <v>536381</v>
      </c>
      <c r="DO210" s="4">
        <v>357586</v>
      </c>
      <c r="DP210" s="4">
        <v>178795</v>
      </c>
      <c r="DQ210" s="4">
        <v>178795</v>
      </c>
    </row>
    <row r="211" spans="1:121" x14ac:dyDescent="0.35">
      <c r="A211" s="2"/>
      <c r="B211" s="2" t="s">
        <v>343</v>
      </c>
      <c r="C211" s="2"/>
      <c r="D211" s="38">
        <f>SUM(D10:D210)</f>
        <v>1.0015960000000001E-2</v>
      </c>
      <c r="E211" s="38">
        <f t="shared" ref="E211:F211" si="186">SUM(E10:E210)</f>
        <v>0.98998403999999929</v>
      </c>
      <c r="F211" s="38">
        <f t="shared" si="186"/>
        <v>0.99999999999999944</v>
      </c>
      <c r="G211" s="38">
        <f>SUM(G10:G210)</f>
        <v>2.0827599999999998E-2</v>
      </c>
      <c r="H211" s="38">
        <f>SUM(H10:H210)</f>
        <v>0.97917239999999994</v>
      </c>
      <c r="I211" s="38">
        <f>SUM(I10:I210)</f>
        <v>1.0000000200000001</v>
      </c>
      <c r="J211" s="7">
        <f>SUM(J10:J210)</f>
        <v>270258086</v>
      </c>
      <c r="K211" s="7">
        <f t="shared" ref="K211:S211" si="187">SUM(K10:K210)</f>
        <v>26712486103</v>
      </c>
      <c r="L211" s="7">
        <f t="shared" si="187"/>
        <v>26982744189</v>
      </c>
      <c r="M211" s="7"/>
      <c r="N211" s="7">
        <f t="shared" si="187"/>
        <v>335007555</v>
      </c>
      <c r="O211" s="7">
        <f t="shared" si="187"/>
        <v>240697804</v>
      </c>
      <c r="P211" s="7"/>
      <c r="Q211" s="7">
        <f t="shared" si="187"/>
        <v>1920757654</v>
      </c>
      <c r="R211" s="7">
        <f t="shared" si="187"/>
        <v>1901519420</v>
      </c>
      <c r="S211" s="7">
        <f t="shared" si="187"/>
        <v>19238234</v>
      </c>
      <c r="T211" s="7">
        <f>SUM(T10:T210)</f>
        <v>-47803965</v>
      </c>
      <c r="U211" s="7">
        <f t="shared" ref="U211" si="188">SUM(U10:U210)</f>
        <v>1459559</v>
      </c>
      <c r="V211" s="7">
        <f t="shared" ref="V211" si="189">SUM(V10:V210)</f>
        <v>31888239</v>
      </c>
      <c r="W211" s="7">
        <f t="shared" ref="W211" si="190">SUM(W10:W210)</f>
        <v>0</v>
      </c>
      <c r="X211" s="7">
        <f t="shared" ref="X211" si="191">SUM(X10:X210)</f>
        <v>11192264</v>
      </c>
      <c r="Y211" s="32">
        <f>SUM(U211+V211+W211+X211)</f>
        <v>44540062</v>
      </c>
      <c r="Z211" s="7">
        <f t="shared" ref="Z211" si="192">SUM(Z10:Z210)</f>
        <v>1471920</v>
      </c>
      <c r="AA211" s="7">
        <f t="shared" ref="AA211" si="193">SUM(AA10:AA210)</f>
        <v>18053170</v>
      </c>
      <c r="AB211" s="7">
        <f t="shared" ref="AB211" si="194">SUM(AB10:AB210)</f>
        <v>1837662</v>
      </c>
      <c r="AC211" s="7">
        <f t="shared" ref="AC211" si="195">SUM(AC10:AC210)</f>
        <v>233185287</v>
      </c>
      <c r="AD211" s="32">
        <f t="shared" ref="AD211" si="196">SUM(Z211+AA211+AB211+AC211)</f>
        <v>254548039</v>
      </c>
      <c r="AE211" s="7">
        <f t="shared" ref="AE211:AG211" si="197">SUM(AE10:AE210)</f>
        <v>-64217733</v>
      </c>
      <c r="AF211" s="7">
        <f t="shared" si="197"/>
        <v>-60999423</v>
      </c>
      <c r="AG211" s="7">
        <f t="shared" si="197"/>
        <v>-63526126</v>
      </c>
      <c r="AH211" s="32">
        <f t="shared" si="145"/>
        <v>-21264695</v>
      </c>
      <c r="AI211" s="7">
        <f t="shared" ref="AI211" si="198">SUM(AI10:AI210)</f>
        <v>0</v>
      </c>
      <c r="AJ211" s="32">
        <f t="shared" si="146"/>
        <v>0</v>
      </c>
      <c r="AK211" s="7">
        <f t="shared" ref="AK211:AM211" si="199">SUM(AK10:AK210)</f>
        <v>614416448</v>
      </c>
      <c r="AL211" s="7">
        <f t="shared" si="199"/>
        <v>121106287</v>
      </c>
      <c r="AM211" s="7">
        <f t="shared" si="199"/>
        <v>44361983</v>
      </c>
      <c r="AN211" s="7">
        <f t="shared" ref="AN211:AP211" si="200">SUM(AN10:AN210)</f>
        <v>9602107</v>
      </c>
      <c r="AO211" s="7">
        <f t="shared" si="200"/>
        <v>270258095</v>
      </c>
      <c r="AP211" s="7">
        <f t="shared" si="200"/>
        <v>-9</v>
      </c>
      <c r="AS211" s="32">
        <f>SUM(AS10:AS210)</f>
        <v>0</v>
      </c>
      <c r="AT211" s="32">
        <f t="shared" ref="AT211:BQ211" si="201">SUM(AT10:AT210)</f>
        <v>0</v>
      </c>
      <c r="AU211" s="32">
        <f t="shared" si="201"/>
        <v>0</v>
      </c>
      <c r="AV211" s="32">
        <f t="shared" si="201"/>
        <v>0</v>
      </c>
      <c r="AW211" s="32">
        <f t="shared" si="201"/>
        <v>0</v>
      </c>
      <c r="AX211" s="32">
        <f t="shared" si="201"/>
        <v>0</v>
      </c>
      <c r="AY211" s="32">
        <f t="shared" si="201"/>
        <v>0</v>
      </c>
      <c r="AZ211" s="32">
        <f t="shared" si="201"/>
        <v>0</v>
      </c>
      <c r="BA211" s="32">
        <f t="shared" si="201"/>
        <v>0</v>
      </c>
      <c r="BB211" s="32">
        <f t="shared" si="201"/>
        <v>0</v>
      </c>
      <c r="BC211" s="32">
        <f t="shared" si="201"/>
        <v>0</v>
      </c>
      <c r="BD211" s="32">
        <f t="shared" si="201"/>
        <v>0</v>
      </c>
      <c r="BE211" s="32" t="s">
        <v>303</v>
      </c>
      <c r="BF211" s="32">
        <f t="shared" si="201"/>
        <v>268388937</v>
      </c>
      <c r="BG211" s="32">
        <f t="shared" si="201"/>
        <v>62416031</v>
      </c>
      <c r="BH211" s="32">
        <f t="shared" si="201"/>
        <v>205972906</v>
      </c>
      <c r="BI211" s="32">
        <f t="shared" si="201"/>
        <v>62416031</v>
      </c>
      <c r="BJ211" s="32">
        <f t="shared" si="201"/>
        <v>143556875</v>
      </c>
      <c r="BK211" s="32">
        <f t="shared" si="201"/>
        <v>62416031</v>
      </c>
      <c r="BL211" s="32">
        <f t="shared" si="201"/>
        <v>81140844</v>
      </c>
      <c r="BM211" s="32">
        <f t="shared" si="201"/>
        <v>62416031</v>
      </c>
      <c r="BN211" s="32">
        <f t="shared" si="201"/>
        <v>18724813</v>
      </c>
      <c r="BO211" s="32">
        <f t="shared" si="201"/>
        <v>18724813</v>
      </c>
      <c r="BP211" s="32">
        <f t="shared" si="201"/>
        <v>0</v>
      </c>
      <c r="BQ211" s="32">
        <f t="shared" si="201"/>
        <v>0</v>
      </c>
      <c r="BS211" s="4">
        <v>21749403</v>
      </c>
      <c r="BT211" s="4">
        <v>4182577</v>
      </c>
      <c r="BU211" s="4">
        <v>17566826</v>
      </c>
      <c r="BV211" s="4">
        <v>4182577</v>
      </c>
      <c r="BW211" s="4">
        <v>13384249</v>
      </c>
      <c r="BX211" s="4">
        <v>4182577</v>
      </c>
      <c r="BY211" s="4">
        <v>9201672</v>
      </c>
      <c r="BZ211" s="4">
        <v>4182577</v>
      </c>
      <c r="CA211" s="4">
        <v>5019095</v>
      </c>
      <c r="CB211" s="4">
        <v>4182577</v>
      </c>
      <c r="CC211" s="4">
        <v>836518</v>
      </c>
      <c r="CD211" s="4">
        <v>836518</v>
      </c>
      <c r="CE211" s="4" t="s">
        <v>303</v>
      </c>
      <c r="CF211" s="4">
        <v>22435222</v>
      </c>
      <c r="CG211" s="4">
        <v>4314467</v>
      </c>
      <c r="CH211" s="4">
        <v>18120755</v>
      </c>
      <c r="CI211" s="4">
        <v>4314467</v>
      </c>
      <c r="CJ211" s="4">
        <v>13806288</v>
      </c>
      <c r="CK211" s="4">
        <v>4314467</v>
      </c>
      <c r="CL211" s="4">
        <v>9491821</v>
      </c>
      <c r="CM211" s="4">
        <v>4314467</v>
      </c>
      <c r="CN211" s="4">
        <v>5177354</v>
      </c>
      <c r="CO211" s="4">
        <v>4314467</v>
      </c>
      <c r="CP211" s="4">
        <v>862887</v>
      </c>
      <c r="CQ211" s="4">
        <v>862887</v>
      </c>
      <c r="CS211" s="4">
        <v>3128070</v>
      </c>
      <c r="CT211" s="4">
        <v>568739</v>
      </c>
      <c r="CU211" s="4">
        <v>2559331</v>
      </c>
      <c r="CV211" s="4">
        <v>568739</v>
      </c>
      <c r="CW211" s="4">
        <v>1990592</v>
      </c>
      <c r="CX211" s="4">
        <v>568739</v>
      </c>
      <c r="CY211" s="4">
        <v>1421853</v>
      </c>
      <c r="CZ211" s="4">
        <v>568739</v>
      </c>
      <c r="DA211" s="4">
        <v>853114</v>
      </c>
      <c r="DB211" s="4">
        <v>568739</v>
      </c>
      <c r="DC211" s="4">
        <v>284375</v>
      </c>
      <c r="DD211" s="4">
        <v>284375</v>
      </c>
      <c r="DE211" s="4" t="s">
        <v>303</v>
      </c>
      <c r="DF211" s="4">
        <v>27846594</v>
      </c>
      <c r="DG211" s="4">
        <v>5063017</v>
      </c>
      <c r="DH211" s="4">
        <v>22783577</v>
      </c>
      <c r="DI211" s="4">
        <v>5063017</v>
      </c>
      <c r="DJ211" s="4">
        <v>17720560</v>
      </c>
      <c r="DK211" s="4">
        <v>5063017</v>
      </c>
      <c r="DL211" s="4">
        <v>12657543</v>
      </c>
      <c r="DM211" s="4">
        <v>5063017</v>
      </c>
      <c r="DN211" s="4">
        <v>7594526</v>
      </c>
      <c r="DO211" s="4">
        <v>5063017</v>
      </c>
      <c r="DP211" s="4">
        <v>2531509</v>
      </c>
      <c r="DQ211" s="4">
        <v>2531509</v>
      </c>
    </row>
    <row r="212" spans="1:121" x14ac:dyDescent="0.35">
      <c r="A212" s="2"/>
      <c r="B212" s="2"/>
      <c r="C212" s="2"/>
      <c r="J212" s="7"/>
      <c r="K212" s="7"/>
      <c r="L212" s="7"/>
      <c r="M212" s="7"/>
      <c r="N212" s="7"/>
      <c r="O212" s="32"/>
      <c r="P212" s="32"/>
      <c r="Q212" s="32"/>
      <c r="R212" s="32"/>
      <c r="S212" s="32"/>
      <c r="T212" s="32"/>
      <c r="AF212" s="32">
        <f t="shared" ref="AF212" si="202">ROUND(AF$2*$D212,0)+AX212-BK212+BZ212-CM212</f>
        <v>0</v>
      </c>
      <c r="AG212" s="32">
        <f t="shared" ref="AG212" si="203">ROUND(AG$2*$D212,0)+AZ212-BM212+CB212-CO212</f>
        <v>0</v>
      </c>
      <c r="AH212" s="32">
        <f t="shared" si="145"/>
        <v>0</v>
      </c>
    </row>
    <row r="213" spans="1:121" x14ac:dyDescent="0.35">
      <c r="A213" s="3"/>
      <c r="B213" s="3" t="s">
        <v>27</v>
      </c>
      <c r="C213" s="3" t="s">
        <v>298</v>
      </c>
      <c r="D213" s="4">
        <v>0</v>
      </c>
      <c r="E213" s="38">
        <f>ROUND('Employer Allocations'!H231,8)</f>
        <v>0.98998403999999995</v>
      </c>
      <c r="F213" s="4" t="s">
        <v>303</v>
      </c>
      <c r="G213" s="4">
        <v>0</v>
      </c>
      <c r="H213" s="4">
        <v>0.97917240000000005</v>
      </c>
      <c r="I213" s="4" t="s">
        <v>303</v>
      </c>
      <c r="J213" s="7">
        <f>ROUND($J$2*D211,0)</f>
        <v>270258086</v>
      </c>
      <c r="K213" s="7">
        <f>ROUND($J$2*E213,0)</f>
        <v>26712486103</v>
      </c>
      <c r="L213" s="7">
        <f>J213+K213</f>
        <v>26982744189</v>
      </c>
      <c r="M213" s="7"/>
      <c r="N213" s="32">
        <f>ROUND($N$2*E213,0)</f>
        <v>33112365896</v>
      </c>
      <c r="O213" s="32">
        <f>ROUND($O$2*$E213,0)</f>
        <v>23790728450</v>
      </c>
      <c r="P213" s="32"/>
      <c r="R213" s="32">
        <f>ROUND(Q$2*$E213,0)-2</f>
        <v>1901519420</v>
      </c>
      <c r="S213" s="32">
        <f>R213</f>
        <v>1901519420</v>
      </c>
      <c r="T213" s="32">
        <f t="shared" ref="T213" si="204">S213+AT213-BG213+BX213-CK213+CV213-DI213</f>
        <v>1968561618</v>
      </c>
      <c r="U213" s="32">
        <f>ROUND(U$2*$E213,0)+1</f>
        <v>144263844</v>
      </c>
      <c r="V213" s="32">
        <f>ROUND(V$2*$E213,0)-1</f>
        <v>3151854332</v>
      </c>
      <c r="W213" s="32">
        <f t="shared" ref="W213" si="205">ROUND(W$2*$E213,0)</f>
        <v>0</v>
      </c>
      <c r="X213" s="32">
        <f t="shared" ref="X213" si="206">AU213+BY213+CW213</f>
        <v>221993034</v>
      </c>
      <c r="Y213" s="32">
        <f t="shared" si="141"/>
        <v>3518111210</v>
      </c>
      <c r="Z213" s="32">
        <f>ROUND(Z$2*$E213,0)+2</f>
        <v>145485720</v>
      </c>
      <c r="AA213" s="32">
        <f>ROUND(AA$2*$E213,0)+1</f>
        <v>1784387213</v>
      </c>
      <c r="AB213" s="32">
        <f>ROUND(AB$2*$E213,0)+2</f>
        <v>181635877</v>
      </c>
      <c r="AC213" s="32">
        <f t="shared" ref="AC213" si="207">BH213+CL213+DJ213</f>
        <v>0</v>
      </c>
      <c r="AD213" s="32">
        <f t="shared" ref="AD213" si="208">SUM(Z213+AA213+AB213+AC213)</f>
        <v>2111508810</v>
      </c>
      <c r="AE213" s="32">
        <f>ROUND(AE$2*$E213,0)+AV213-BI213+BZ213-CM213+CX213-DK213</f>
        <v>346214265</v>
      </c>
      <c r="AF213" s="32">
        <f>ROUND(AF$2*$E213,0)+AX213-BK213+CB213-CO213+CZ213-DM213</f>
        <v>664314538</v>
      </c>
      <c r="AG213" s="32">
        <f>ROUND(AG$2*$E213,0)+AZ213-BM213+CD213-CQ213+DB213-DO213</f>
        <v>404038085</v>
      </c>
      <c r="AH213" s="32">
        <f t="shared" si="145"/>
        <v>-7964488</v>
      </c>
      <c r="AI213" s="32">
        <f t="shared" ref="AI213" si="209">Y213-AD213-AE213-AF213-AG213-AH213</f>
        <v>0</v>
      </c>
      <c r="AJ213" s="32">
        <f t="shared" si="146"/>
        <v>0</v>
      </c>
      <c r="AK213" s="7">
        <v>28885691464</v>
      </c>
      <c r="AL213" s="32">
        <v>4964683081</v>
      </c>
      <c r="AM213" s="32">
        <v>365392292</v>
      </c>
      <c r="AN213" s="4">
        <f>'Employer Allocations'!F230+'Employer Allocations'!D43+'Employer Allocations'!D25</f>
        <v>949078599</v>
      </c>
      <c r="AO213" s="32">
        <f>AK213+S213-AA213-AB213-AN213</f>
        <v>27872109195</v>
      </c>
      <c r="AP213" s="32">
        <f>AO213-K213</f>
        <v>1159623092</v>
      </c>
      <c r="AS213" s="32">
        <f>ROUND((IF(E213&gt;H213,E213-H213,0))*(AK$2-AL$2+AM$2),0)</f>
        <v>268388939</v>
      </c>
      <c r="AT213" s="107">
        <f t="shared" ref="AT213" si="210">ROUND(AS213/$K$2,0)</f>
        <v>62416032</v>
      </c>
      <c r="AU213" s="105">
        <f t="shared" ref="AU213" si="211">AS213-AT213</f>
        <v>205972907</v>
      </c>
      <c r="AV213" s="4">
        <f t="shared" ref="AV213" si="212">AT213</f>
        <v>62416032</v>
      </c>
      <c r="AW213" s="32">
        <f t="shared" ref="AW213" si="213">AU213-AV213</f>
        <v>143556875</v>
      </c>
      <c r="AX213" s="4">
        <f t="shared" ref="AX213" si="214">AV213</f>
        <v>62416032</v>
      </c>
      <c r="AY213" s="32">
        <f t="shared" ref="AY213" si="215">AW213-AX213</f>
        <v>81140843</v>
      </c>
      <c r="AZ213" s="4">
        <f t="shared" ref="AZ213" si="216">AX213</f>
        <v>62416032</v>
      </c>
      <c r="BA213" s="32">
        <f t="shared" ref="BA213" si="217">AY213-AZ213</f>
        <v>18724811</v>
      </c>
      <c r="BB213" s="32">
        <f>BA213</f>
        <v>18724811</v>
      </c>
      <c r="BC213" s="32">
        <f t="shared" ref="BC213" si="218">BA213-BB213</f>
        <v>0</v>
      </c>
      <c r="BD213" s="32">
        <f t="shared" ref="BD213" si="219">BC213</f>
        <v>0</v>
      </c>
      <c r="BF213" s="32">
        <f>ROUND((IF(E213&lt;H213,H213-E213,0))*(AK$2-AL$2+AM$2),0)</f>
        <v>0</v>
      </c>
      <c r="BG213" s="107">
        <f t="shared" ref="BG213" si="220">ROUND(BF213/$K$2,0)</f>
        <v>0</v>
      </c>
      <c r="BH213" s="32">
        <f t="shared" ref="BH213" si="221">BF213-BG213</f>
        <v>0</v>
      </c>
      <c r="BI213" s="4">
        <f t="shared" ref="BI213" si="222">BG213</f>
        <v>0</v>
      </c>
      <c r="BJ213" s="32">
        <f t="shared" ref="BJ213" si="223">BH213-BI213</f>
        <v>0</v>
      </c>
      <c r="BK213" s="4">
        <f t="shared" ref="BK213" si="224">BI213</f>
        <v>0</v>
      </c>
      <c r="BL213" s="32">
        <f t="shared" ref="BL213" si="225">BJ213-BK213</f>
        <v>0</v>
      </c>
      <c r="BM213" s="4">
        <f t="shared" ref="BM213" si="226">BK213</f>
        <v>0</v>
      </c>
      <c r="BN213" s="32">
        <f t="shared" ref="BN213" si="227">BL213-BM213</f>
        <v>0</v>
      </c>
      <c r="BO213" s="4">
        <f t="shared" ref="BO213" si="228">BM213</f>
        <v>0</v>
      </c>
      <c r="BP213" s="32">
        <f t="shared" ref="BP213" si="229">BN213-BO213</f>
        <v>0</v>
      </c>
      <c r="BQ213" s="32">
        <f t="shared" ref="BQ213" si="230">BP213</f>
        <v>0</v>
      </c>
      <c r="BS213" s="4">
        <v>685820</v>
      </c>
      <c r="BT213" s="44">
        <v>131888</v>
      </c>
      <c r="BU213" s="4">
        <v>553932</v>
      </c>
      <c r="BV213" s="39">
        <v>131888</v>
      </c>
      <c r="BW213" s="4">
        <v>422044</v>
      </c>
      <c r="BX213" s="4">
        <v>131888</v>
      </c>
      <c r="BY213" s="4">
        <v>290156</v>
      </c>
      <c r="BZ213" s="4">
        <v>131888</v>
      </c>
      <c r="CA213" s="4">
        <v>158268</v>
      </c>
      <c r="CB213" s="4">
        <v>131888</v>
      </c>
      <c r="CC213" s="4">
        <v>26380</v>
      </c>
      <c r="CD213" s="4">
        <v>26380</v>
      </c>
      <c r="CF213" s="4">
        <v>0</v>
      </c>
      <c r="CG213" s="4">
        <v>0</v>
      </c>
      <c r="CH213" s="4">
        <v>0</v>
      </c>
      <c r="CI213" s="39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S213" s="4">
        <v>24718527</v>
      </c>
      <c r="CT213" s="4">
        <v>4494278</v>
      </c>
      <c r="CU213" s="4">
        <v>20224249</v>
      </c>
      <c r="CV213" s="4">
        <v>4494278</v>
      </c>
      <c r="CW213" s="4">
        <v>15729971</v>
      </c>
      <c r="CX213" s="4">
        <v>4494278</v>
      </c>
      <c r="CY213" s="4">
        <v>11235693</v>
      </c>
      <c r="CZ213" s="4">
        <v>4494278</v>
      </c>
      <c r="DA213" s="4">
        <v>6741415</v>
      </c>
      <c r="DB213" s="4">
        <v>4494278</v>
      </c>
      <c r="DC213" s="4">
        <v>2247137</v>
      </c>
      <c r="DD213" s="4">
        <v>2247137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  <c r="DO213" s="4">
        <v>0</v>
      </c>
      <c r="DP213" s="4">
        <v>0</v>
      </c>
      <c r="DQ213" s="4">
        <v>0</v>
      </c>
    </row>
    <row r="214" spans="1:121" x14ac:dyDescent="0.35">
      <c r="B214" s="4" t="s">
        <v>332</v>
      </c>
      <c r="D214" s="31">
        <f>D211+D213</f>
        <v>1.0015960000000001E-2</v>
      </c>
      <c r="E214" s="38">
        <f>E213</f>
        <v>0.98998403999999995</v>
      </c>
      <c r="F214" s="38">
        <f>D214+E214</f>
        <v>1</v>
      </c>
      <c r="G214" s="4">
        <v>2.0827599999999998E-2</v>
      </c>
      <c r="H214" s="4">
        <v>0.97917240000000005</v>
      </c>
      <c r="I214" s="4">
        <v>1</v>
      </c>
      <c r="J214" s="32" t="s">
        <v>303</v>
      </c>
      <c r="N214" s="32">
        <f>N211+N213</f>
        <v>33447373451</v>
      </c>
      <c r="O214" s="32">
        <f>O211+O213</f>
        <v>24031426254</v>
      </c>
      <c r="P214" s="32"/>
      <c r="S214" s="7">
        <f t="shared" ref="S214:X214" si="231">S211+S213</f>
        <v>1920757654</v>
      </c>
      <c r="T214" s="7">
        <f t="shared" si="231"/>
        <v>1920757653</v>
      </c>
      <c r="U214" s="7">
        <f t="shared" si="231"/>
        <v>145723403</v>
      </c>
      <c r="V214" s="7">
        <f t="shared" si="231"/>
        <v>3183742571</v>
      </c>
      <c r="W214" s="7">
        <f t="shared" si="231"/>
        <v>0</v>
      </c>
      <c r="X214" s="7">
        <f t="shared" si="231"/>
        <v>233185298</v>
      </c>
      <c r="Z214" s="7">
        <f t="shared" ref="Z214:AA214" si="232">Z211+Z213</f>
        <v>146957640</v>
      </c>
      <c r="AA214" s="7">
        <f t="shared" si="232"/>
        <v>1802440383</v>
      </c>
      <c r="AB214" s="7">
        <f t="shared" ref="AB214" si="233">AB211+AB213</f>
        <v>183473539</v>
      </c>
      <c r="AC214" s="7">
        <f t="shared" ref="AC214" si="234">AC211+AC213</f>
        <v>233185287</v>
      </c>
      <c r="AD214" s="7"/>
      <c r="AE214" s="7">
        <f t="shared" ref="AE214" si="235">AE211+AE213</f>
        <v>281996532</v>
      </c>
      <c r="AF214" s="7">
        <f t="shared" ref="AF214" si="236">AF211+AF213</f>
        <v>603315115</v>
      </c>
      <c r="AG214" s="7">
        <f t="shared" ref="AG214" si="237">AG211+AG213</f>
        <v>340511959</v>
      </c>
      <c r="AH214" s="7">
        <f t="shared" ref="AH214" si="238">AH211+AH213</f>
        <v>-29229183</v>
      </c>
      <c r="AI214" s="7">
        <f t="shared" ref="AI214" si="239">AI211+AI213</f>
        <v>0</v>
      </c>
      <c r="AJ214" s="7"/>
      <c r="AK214" s="7">
        <f t="shared" ref="AK214" si="240">AK211+AK213</f>
        <v>29500107912</v>
      </c>
      <c r="AL214" s="7" t="s">
        <v>303</v>
      </c>
      <c r="AM214" s="7" t="s">
        <v>303</v>
      </c>
      <c r="AN214" s="7">
        <f t="shared" ref="AN214:AP214" si="241">AN211+AN213</f>
        <v>958680706</v>
      </c>
      <c r="AO214" s="7">
        <f t="shared" si="241"/>
        <v>28142367290</v>
      </c>
      <c r="AP214" s="7">
        <f t="shared" si="241"/>
        <v>1159623083</v>
      </c>
      <c r="AS214" s="7">
        <f t="shared" ref="AS214:BQ214" si="242">AS211+AS213</f>
        <v>268388939</v>
      </c>
      <c r="AT214" s="7">
        <f t="shared" si="242"/>
        <v>62416032</v>
      </c>
      <c r="AU214" s="7">
        <f t="shared" si="242"/>
        <v>205972907</v>
      </c>
      <c r="AV214" s="7">
        <f t="shared" si="242"/>
        <v>62416032</v>
      </c>
      <c r="AW214" s="7">
        <f t="shared" si="242"/>
        <v>143556875</v>
      </c>
      <c r="AX214" s="7">
        <f t="shared" si="242"/>
        <v>62416032</v>
      </c>
      <c r="AY214" s="7">
        <f t="shared" si="242"/>
        <v>81140843</v>
      </c>
      <c r="AZ214" s="7">
        <f t="shared" si="242"/>
        <v>62416032</v>
      </c>
      <c r="BA214" s="7">
        <f t="shared" si="242"/>
        <v>18724811</v>
      </c>
      <c r="BB214" s="7">
        <f t="shared" si="242"/>
        <v>18724811</v>
      </c>
      <c r="BC214" s="7">
        <f t="shared" si="242"/>
        <v>0</v>
      </c>
      <c r="BD214" s="7">
        <f t="shared" si="242"/>
        <v>0</v>
      </c>
      <c r="BE214" s="7" t="e">
        <f t="shared" si="242"/>
        <v>#VALUE!</v>
      </c>
      <c r="BF214" s="7">
        <f t="shared" si="242"/>
        <v>268388937</v>
      </c>
      <c r="BG214" s="7">
        <f t="shared" si="242"/>
        <v>62416031</v>
      </c>
      <c r="BH214" s="7">
        <f t="shared" si="242"/>
        <v>205972906</v>
      </c>
      <c r="BI214" s="7">
        <f t="shared" si="242"/>
        <v>62416031</v>
      </c>
      <c r="BJ214" s="7">
        <f t="shared" si="242"/>
        <v>143556875</v>
      </c>
      <c r="BK214" s="7">
        <f t="shared" si="242"/>
        <v>62416031</v>
      </c>
      <c r="BL214" s="7">
        <f t="shared" si="242"/>
        <v>81140844</v>
      </c>
      <c r="BM214" s="7">
        <f t="shared" si="242"/>
        <v>62416031</v>
      </c>
      <c r="BN214" s="7">
        <f t="shared" si="242"/>
        <v>18724813</v>
      </c>
      <c r="BO214" s="7">
        <f t="shared" si="242"/>
        <v>18724813</v>
      </c>
      <c r="BP214" s="7">
        <f t="shared" si="242"/>
        <v>0</v>
      </c>
      <c r="BQ214" s="7">
        <f t="shared" si="242"/>
        <v>0</v>
      </c>
      <c r="BS214" s="4">
        <v>22435223</v>
      </c>
      <c r="BT214" s="4">
        <v>4314465</v>
      </c>
      <c r="BU214" s="4">
        <v>18120758</v>
      </c>
      <c r="BV214" s="4">
        <v>4314465</v>
      </c>
      <c r="BW214" s="4">
        <v>13806293</v>
      </c>
      <c r="BX214" s="4">
        <v>4314465</v>
      </c>
      <c r="BY214" s="4">
        <v>9491828</v>
      </c>
      <c r="BZ214" s="4">
        <v>4314465</v>
      </c>
      <c r="CA214" s="4">
        <v>5177363</v>
      </c>
      <c r="CB214" s="4">
        <v>4314465</v>
      </c>
      <c r="CC214" s="4">
        <v>862898</v>
      </c>
      <c r="CD214" s="4">
        <v>862898</v>
      </c>
      <c r="CE214" s="4" t="e">
        <v>#VALUE!</v>
      </c>
      <c r="CF214" s="4">
        <v>22435222</v>
      </c>
      <c r="CG214" s="4">
        <v>4314467</v>
      </c>
      <c r="CH214" s="4">
        <v>18120755</v>
      </c>
      <c r="CI214" s="4">
        <v>4314467</v>
      </c>
      <c r="CJ214" s="4">
        <v>13806288</v>
      </c>
      <c r="CK214" s="4">
        <v>4314467</v>
      </c>
      <c r="CL214" s="4">
        <v>9491821</v>
      </c>
      <c r="CM214" s="4">
        <v>4314467</v>
      </c>
      <c r="CN214" s="4">
        <v>5177354</v>
      </c>
      <c r="CO214" s="4">
        <v>4314467</v>
      </c>
      <c r="CP214" s="4">
        <v>862887</v>
      </c>
      <c r="CQ214" s="4">
        <v>862887</v>
      </c>
      <c r="CS214" s="4">
        <v>27846597</v>
      </c>
      <c r="CT214" s="4">
        <v>5063017</v>
      </c>
      <c r="CU214" s="4">
        <v>22783580</v>
      </c>
      <c r="CV214" s="4">
        <v>5063017</v>
      </c>
      <c r="CW214" s="4">
        <v>17720563</v>
      </c>
      <c r="CX214" s="4">
        <v>5063017</v>
      </c>
      <c r="CY214" s="4">
        <v>12657546</v>
      </c>
      <c r="CZ214" s="4">
        <v>5063017</v>
      </c>
      <c r="DA214" s="4">
        <v>7594529</v>
      </c>
      <c r="DB214" s="4">
        <v>5063017</v>
      </c>
      <c r="DC214" s="4">
        <v>2531512</v>
      </c>
      <c r="DD214" s="4">
        <v>2531512</v>
      </c>
      <c r="DE214" s="4" t="e">
        <v>#VALUE!</v>
      </c>
      <c r="DF214" s="4">
        <v>27846594</v>
      </c>
      <c r="DG214" s="4">
        <v>5063017</v>
      </c>
      <c r="DH214" s="4">
        <v>22783577</v>
      </c>
      <c r="DI214" s="4">
        <v>5063017</v>
      </c>
      <c r="DJ214" s="4">
        <v>17720560</v>
      </c>
      <c r="DK214" s="4">
        <v>5063017</v>
      </c>
      <c r="DL214" s="4">
        <v>12657543</v>
      </c>
      <c r="DM214" s="4">
        <v>5063017</v>
      </c>
      <c r="DN214" s="4">
        <v>7594526</v>
      </c>
      <c r="DO214" s="4">
        <v>5063017</v>
      </c>
      <c r="DP214" s="4">
        <v>2531509</v>
      </c>
      <c r="DQ214" s="4">
        <v>2531509</v>
      </c>
    </row>
    <row r="215" spans="1:121" x14ac:dyDescent="0.35">
      <c r="G215" s="4">
        <v>0</v>
      </c>
      <c r="H215" s="4">
        <v>0</v>
      </c>
      <c r="I215" s="4">
        <v>0</v>
      </c>
    </row>
    <row r="216" spans="1:121" x14ac:dyDescent="0.35">
      <c r="E216" s="38">
        <f>E211-E214</f>
        <v>0</v>
      </c>
      <c r="G216" s="4">
        <v>0</v>
      </c>
      <c r="H216" s="4">
        <v>0</v>
      </c>
      <c r="I216" s="4">
        <v>0</v>
      </c>
      <c r="K216" s="32">
        <f>K211-K213</f>
        <v>0</v>
      </c>
      <c r="L216" s="32">
        <f>L211-J2</f>
        <v>0</v>
      </c>
      <c r="N216" s="32">
        <f>N2-N214</f>
        <v>0</v>
      </c>
      <c r="O216" s="32">
        <f>O2-O214</f>
        <v>0</v>
      </c>
      <c r="P216" s="32"/>
      <c r="Q216" s="32">
        <f>Q2-Q211</f>
        <v>0</v>
      </c>
      <c r="R216" s="32">
        <f>R211-R213</f>
        <v>0</v>
      </c>
      <c r="S216" s="32">
        <f>Q2-S214</f>
        <v>0</v>
      </c>
      <c r="T216" s="32"/>
      <c r="U216" s="32">
        <f t="shared" ref="U216:AK216" si="243">U2-U214</f>
        <v>0</v>
      </c>
      <c r="V216" s="32">
        <f>V2-V214</f>
        <v>0</v>
      </c>
      <c r="W216" s="32">
        <f t="shared" si="243"/>
        <v>0</v>
      </c>
      <c r="X216" s="32">
        <f>X214-AC214</f>
        <v>11</v>
      </c>
      <c r="Y216" s="32"/>
      <c r="Z216" s="32">
        <f t="shared" si="243"/>
        <v>0</v>
      </c>
      <c r="AA216" s="32">
        <f t="shared" si="243"/>
        <v>0</v>
      </c>
      <c r="AB216" s="32">
        <f t="shared" si="243"/>
        <v>0</v>
      </c>
      <c r="AC216" s="32" t="s">
        <v>303</v>
      </c>
      <c r="AD216" s="32"/>
      <c r="AE216" s="32">
        <f t="shared" si="243"/>
        <v>1</v>
      </c>
      <c r="AF216" s="32">
        <f t="shared" si="243"/>
        <v>5</v>
      </c>
      <c r="AG216" s="32">
        <f t="shared" si="243"/>
        <v>-10</v>
      </c>
      <c r="AH216" s="32">
        <f t="shared" si="243"/>
        <v>-10</v>
      </c>
      <c r="AI216" s="32">
        <f t="shared" si="243"/>
        <v>0</v>
      </c>
      <c r="AJ216" s="32"/>
      <c r="AK216" s="32">
        <f t="shared" si="243"/>
        <v>2</v>
      </c>
      <c r="AN216" s="7">
        <f>'Allocation schedule Univ'!AN19</f>
        <v>59527690</v>
      </c>
      <c r="AO216" s="7">
        <f>'[3]Allocation schedule Univ'!AG18</f>
        <v>280185633</v>
      </c>
      <c r="AP216" s="7">
        <f>'[3]Allocation schedule Univ'!AH18</f>
        <v>-1</v>
      </c>
    </row>
    <row r="218" spans="1:121" x14ac:dyDescent="0.35">
      <c r="X218" s="32" t="s">
        <v>303</v>
      </c>
      <c r="AN218" s="32">
        <f>AN214+AN216</f>
        <v>1018208396</v>
      </c>
      <c r="AO218" s="32">
        <f t="shared" ref="AO218:AP218" si="244">AO211+AO216</f>
        <v>550443728</v>
      </c>
      <c r="AP218" s="32">
        <f t="shared" si="244"/>
        <v>-10</v>
      </c>
    </row>
  </sheetData>
  <mergeCells count="11">
    <mergeCell ref="A9:B9"/>
    <mergeCell ref="U3:X3"/>
    <mergeCell ref="Z3:AC3"/>
    <mergeCell ref="AE3:AI3"/>
    <mergeCell ref="J4:O4"/>
    <mergeCell ref="AE4:AI4"/>
    <mergeCell ref="AT1:BE1"/>
    <mergeCell ref="BG1:BR1"/>
    <mergeCell ref="BT1:CE1"/>
    <mergeCell ref="CG1:CR1"/>
    <mergeCell ref="N1:O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72"/>
  <sheetViews>
    <sheetView showGridLines="0" tabSelected="1" zoomScaleNormal="100" workbookViewId="0">
      <pane ySplit="5" topLeftCell="A8" activePane="bottomLeft" state="frozen"/>
      <selection pane="bottomLeft" activeCell="A8" sqref="A8"/>
    </sheetView>
  </sheetViews>
  <sheetFormatPr defaultColWidth="9.15234375" defaultRowHeight="12.9" x14ac:dyDescent="0.35"/>
  <cols>
    <col min="1" max="1" width="6.69140625" style="234" customWidth="1"/>
    <col min="2" max="2" width="43.69140625" style="234" customWidth="1"/>
    <col min="3" max="3" width="11.69140625" style="234" bestFit="1" customWidth="1"/>
    <col min="4" max="4" width="13.3828125" style="234" bestFit="1" customWidth="1"/>
    <col min="5" max="5" width="13.84375" style="234" bestFit="1" customWidth="1"/>
    <col min="6" max="8" width="11.69140625" style="234" customWidth="1"/>
    <col min="9" max="9" width="5.69140625" style="234" customWidth="1"/>
    <col min="10" max="13" width="9.15234375" style="234"/>
    <col min="14" max="14" width="13.3828125" style="234" bestFit="1" customWidth="1"/>
    <col min="15" max="15" width="24.69140625" style="234" bestFit="1" customWidth="1"/>
    <col min="16" max="16" width="12.23046875" style="234" bestFit="1" customWidth="1"/>
    <col min="17" max="18" width="9.84375" style="234" bestFit="1" customWidth="1"/>
    <col min="19" max="16384" width="9.15234375" style="234"/>
  </cols>
  <sheetData>
    <row r="1" spans="1:9" ht="17.600000000000001" x14ac:dyDescent="0.4">
      <c r="A1" s="233" t="s">
        <v>91</v>
      </c>
      <c r="C1" s="235"/>
      <c r="D1" s="235"/>
      <c r="E1" s="235"/>
      <c r="F1" s="235"/>
      <c r="G1" s="235"/>
      <c r="H1" s="235"/>
      <c r="I1" s="235"/>
    </row>
    <row r="2" spans="1:9" ht="14.15" x14ac:dyDescent="0.35">
      <c r="A2" s="235" t="s">
        <v>731</v>
      </c>
      <c r="C2" s="235"/>
      <c r="D2" s="235"/>
      <c r="E2" s="235"/>
      <c r="F2" s="235"/>
      <c r="G2" s="235"/>
      <c r="H2" s="235"/>
      <c r="I2" s="235"/>
    </row>
    <row r="3" spans="1:9" ht="14.15" x14ac:dyDescent="0.35">
      <c r="B3" s="235"/>
      <c r="C3" s="235"/>
      <c r="D3" s="235"/>
      <c r="E3" s="235"/>
      <c r="F3" s="235"/>
      <c r="G3" s="235"/>
      <c r="H3" s="235"/>
      <c r="I3" s="235"/>
    </row>
    <row r="4" spans="1:9" x14ac:dyDescent="0.35">
      <c r="A4" s="236" t="s">
        <v>314</v>
      </c>
      <c r="B4" s="237"/>
      <c r="C4" s="236" t="s">
        <v>314</v>
      </c>
      <c r="D4" s="236" t="s">
        <v>374</v>
      </c>
      <c r="E4" s="236"/>
      <c r="F4" s="238" t="s">
        <v>319</v>
      </c>
      <c r="G4" s="238"/>
      <c r="H4" s="238"/>
      <c r="I4" s="239"/>
    </row>
    <row r="5" spans="1:9" x14ac:dyDescent="0.35">
      <c r="A5" s="236" t="s">
        <v>379</v>
      </c>
      <c r="B5" s="236" t="s">
        <v>314</v>
      </c>
      <c r="C5" s="236" t="s">
        <v>80</v>
      </c>
      <c r="D5" s="236" t="s">
        <v>80</v>
      </c>
      <c r="E5" s="236" t="s">
        <v>64</v>
      </c>
      <c r="F5" s="236" t="s">
        <v>314</v>
      </c>
      <c r="G5" s="236" t="s">
        <v>374</v>
      </c>
      <c r="H5" s="236" t="s">
        <v>64</v>
      </c>
      <c r="I5" s="239"/>
    </row>
    <row r="6" spans="1:9" hidden="1" x14ac:dyDescent="0.35">
      <c r="A6" s="236"/>
      <c r="B6" s="236"/>
      <c r="C6" s="236"/>
      <c r="D6" s="236"/>
      <c r="E6" s="236"/>
      <c r="F6" s="236"/>
      <c r="G6" s="236"/>
      <c r="H6" s="236"/>
      <c r="I6" s="239"/>
    </row>
    <row r="7" spans="1:9" ht="15" hidden="1" x14ac:dyDescent="0.6">
      <c r="A7" s="239"/>
      <c r="B7" s="240"/>
      <c r="C7" s="237"/>
      <c r="D7" s="237"/>
      <c r="E7" s="237"/>
      <c r="F7" s="237"/>
      <c r="G7" s="237"/>
      <c r="H7" s="237"/>
      <c r="I7" s="239"/>
    </row>
    <row r="8" spans="1:9" ht="15" x14ac:dyDescent="0.6">
      <c r="A8" s="232"/>
      <c r="B8" s="241"/>
      <c r="C8" s="242" t="s">
        <v>80</v>
      </c>
      <c r="D8" s="243"/>
      <c r="E8" s="243"/>
      <c r="F8" s="242" t="s">
        <v>384</v>
      </c>
      <c r="G8" s="242"/>
      <c r="H8" s="242"/>
      <c r="I8" s="239"/>
    </row>
    <row r="9" spans="1:9" x14ac:dyDescent="0.35">
      <c r="A9" s="232" t="s">
        <v>379</v>
      </c>
      <c r="B9" s="231" t="s">
        <v>92</v>
      </c>
      <c r="C9" s="232" t="s">
        <v>314</v>
      </c>
      <c r="D9" s="232" t="s">
        <v>374</v>
      </c>
      <c r="E9" s="232" t="s">
        <v>64</v>
      </c>
      <c r="F9" s="232" t="s">
        <v>314</v>
      </c>
      <c r="G9" s="232" t="s">
        <v>374</v>
      </c>
      <c r="H9" s="232" t="s">
        <v>64</v>
      </c>
      <c r="I9" s="239"/>
    </row>
    <row r="10" spans="1:9" ht="15" x14ac:dyDescent="0.6">
      <c r="A10" s="184"/>
      <c r="B10" s="183"/>
      <c r="C10" s="184"/>
      <c r="D10" s="184"/>
      <c r="E10" s="184"/>
      <c r="F10" s="185"/>
      <c r="G10" s="185"/>
      <c r="H10" s="185"/>
      <c r="I10" s="239"/>
    </row>
    <row r="11" spans="1:9" x14ac:dyDescent="0.35">
      <c r="A11" s="244">
        <v>263</v>
      </c>
      <c r="B11" s="186" t="str">
        <f>'Employer Allocations'!A7</f>
        <v>Eastern Kentucky University</v>
      </c>
      <c r="C11" s="339">
        <v>7084752</v>
      </c>
      <c r="D11" s="339">
        <v>7450917</v>
      </c>
      <c r="E11" s="339">
        <v>14535669</v>
      </c>
      <c r="F11" s="340">
        <v>0.136851</v>
      </c>
      <c r="G11" s="340">
        <v>0.143924</v>
      </c>
      <c r="H11" s="195">
        <v>0.280775</v>
      </c>
      <c r="I11" s="239"/>
    </row>
    <row r="12" spans="1:9" x14ac:dyDescent="0.35">
      <c r="A12" s="244">
        <v>266</v>
      </c>
      <c r="B12" s="186" t="str">
        <f>'Employer Allocations'!A8</f>
        <v>Kentucky State University</v>
      </c>
      <c r="C12" s="341">
        <v>1937803</v>
      </c>
      <c r="D12" s="341">
        <v>2037956</v>
      </c>
      <c r="E12" s="341">
        <v>3975759</v>
      </c>
      <c r="F12" s="340">
        <v>3.7430999999999999E-2</v>
      </c>
      <c r="G12" s="340">
        <v>3.9365999999999998E-2</v>
      </c>
      <c r="H12" s="195">
        <v>7.6797000000000004E-2</v>
      </c>
      <c r="I12" s="239"/>
    </row>
    <row r="13" spans="1:9" x14ac:dyDescent="0.35">
      <c r="A13" s="244">
        <v>269</v>
      </c>
      <c r="B13" s="186" t="str">
        <f>'Employer Allocations'!A9</f>
        <v>Morehead State University</v>
      </c>
      <c r="C13" s="341">
        <v>3890983</v>
      </c>
      <c r="D13" s="341">
        <v>4092083</v>
      </c>
      <c r="E13" s="341">
        <v>7983066</v>
      </c>
      <c r="F13" s="340">
        <v>7.5159000000000004E-2</v>
      </c>
      <c r="G13" s="340">
        <v>7.9044000000000003E-2</v>
      </c>
      <c r="H13" s="195">
        <v>0.15420300000000001</v>
      </c>
      <c r="I13" s="239"/>
    </row>
    <row r="14" spans="1:9" x14ac:dyDescent="0.35">
      <c r="A14" s="244">
        <v>270</v>
      </c>
      <c r="B14" s="186" t="str">
        <f>'Employer Allocations'!A10</f>
        <v>Murray State University</v>
      </c>
      <c r="C14" s="341">
        <v>3956138</v>
      </c>
      <c r="D14" s="341">
        <v>4160605</v>
      </c>
      <c r="E14" s="341">
        <v>8116743</v>
      </c>
      <c r="F14" s="340">
        <v>7.6418E-2</v>
      </c>
      <c r="G14" s="340">
        <v>8.0366999999999994E-2</v>
      </c>
      <c r="H14" s="195">
        <v>0.15678500000000001</v>
      </c>
      <c r="I14" s="239"/>
    </row>
    <row r="15" spans="1:9" x14ac:dyDescent="0.35">
      <c r="A15" s="244">
        <v>273</v>
      </c>
      <c r="B15" s="186" t="str">
        <f>'Employer Allocations'!A11</f>
        <v>Western Kentucky University</v>
      </c>
      <c r="C15" s="341">
        <v>6248445</v>
      </c>
      <c r="D15" s="341">
        <v>6571387</v>
      </c>
      <c r="E15" s="341">
        <v>12819832</v>
      </c>
      <c r="F15" s="340">
        <v>0.120696</v>
      </c>
      <c r="G15" s="340">
        <v>0.12693399999999999</v>
      </c>
      <c r="H15" s="195">
        <v>0.24762999999999999</v>
      </c>
      <c r="I15" s="239"/>
    </row>
    <row r="16" spans="1:9" ht="13.75" x14ac:dyDescent="0.45">
      <c r="A16" s="244">
        <v>500</v>
      </c>
      <c r="B16" s="186" t="str">
        <f>'Employer Allocations'!A12</f>
        <v>KCTCS Central Office - University</v>
      </c>
      <c r="C16" s="342">
        <v>2114799</v>
      </c>
      <c r="D16" s="342">
        <v>2224099</v>
      </c>
      <c r="E16" s="342">
        <v>4338898</v>
      </c>
      <c r="F16" s="343">
        <v>4.0849999999999997E-2</v>
      </c>
      <c r="G16" s="343">
        <v>4.2960999999999999E-2</v>
      </c>
      <c r="H16" s="196">
        <v>8.3810999999999997E-2</v>
      </c>
      <c r="I16" s="239"/>
    </row>
    <row r="17" spans="1:9" ht="13.75" x14ac:dyDescent="0.45">
      <c r="A17" s="245"/>
      <c r="B17" s="192"/>
      <c r="C17" s="190"/>
      <c r="D17" s="190"/>
      <c r="E17" s="190"/>
      <c r="F17" s="191"/>
      <c r="G17" s="191"/>
      <c r="H17" s="196"/>
      <c r="I17" s="239"/>
    </row>
    <row r="18" spans="1:9" ht="13.75" x14ac:dyDescent="0.45">
      <c r="A18" s="245"/>
      <c r="B18" s="193" t="s">
        <v>714</v>
      </c>
      <c r="C18" s="332">
        <f>SUM(C11:C16)</f>
        <v>25232920</v>
      </c>
      <c r="D18" s="332">
        <f>SUM(D11:D16)</f>
        <v>26537047</v>
      </c>
      <c r="E18" s="323">
        <f>C18+D18</f>
        <v>51769967</v>
      </c>
      <c r="F18" s="326">
        <f>SUM(F11:F16)</f>
        <v>0.48740500000000003</v>
      </c>
      <c r="G18" s="327">
        <f>SUM(G11:G16)</f>
        <v>0.51259600000000005</v>
      </c>
      <c r="H18" s="327">
        <f>SUM(H11:H16)</f>
        <v>1.0000010000000001</v>
      </c>
      <c r="I18" s="239"/>
    </row>
    <row r="19" spans="1:9" hidden="1" x14ac:dyDescent="0.35">
      <c r="A19" s="245"/>
      <c r="B19" s="193"/>
      <c r="C19" s="194"/>
      <c r="D19" s="246"/>
      <c r="E19" s="247"/>
      <c r="F19" s="195"/>
      <c r="G19" s="185"/>
      <c r="H19" s="185"/>
      <c r="I19" s="237"/>
    </row>
    <row r="20" spans="1:9" hidden="1" x14ac:dyDescent="0.35">
      <c r="A20" s="239"/>
      <c r="B20" s="237"/>
      <c r="C20" s="248"/>
      <c r="D20" s="249"/>
      <c r="E20" s="250"/>
      <c r="F20" s="250"/>
      <c r="G20" s="237"/>
      <c r="H20" s="237"/>
      <c r="I20" s="237"/>
    </row>
    <row r="21" spans="1:9" x14ac:dyDescent="0.35">
      <c r="A21" s="239"/>
      <c r="B21" s="237"/>
      <c r="C21" s="248"/>
      <c r="D21" s="250"/>
      <c r="E21" s="250"/>
      <c r="F21" s="236"/>
      <c r="G21" s="236"/>
      <c r="H21" s="236"/>
      <c r="I21" s="239"/>
    </row>
    <row r="22" spans="1:9" ht="15" x14ac:dyDescent="0.6">
      <c r="A22" s="232"/>
      <c r="B22" s="241"/>
      <c r="C22" s="242" t="s">
        <v>80</v>
      </c>
      <c r="D22" s="243"/>
      <c r="E22" s="243"/>
      <c r="F22" s="242" t="s">
        <v>384</v>
      </c>
      <c r="G22" s="242"/>
      <c r="H22" s="242"/>
      <c r="I22" s="239"/>
    </row>
    <row r="23" spans="1:9" x14ac:dyDescent="0.35">
      <c r="A23" s="232" t="s">
        <v>379</v>
      </c>
      <c r="B23" s="231" t="s">
        <v>720</v>
      </c>
      <c r="C23" s="232" t="s">
        <v>314</v>
      </c>
      <c r="D23" s="232" t="s">
        <v>374</v>
      </c>
      <c r="E23" s="232" t="s">
        <v>64</v>
      </c>
      <c r="F23" s="232" t="s">
        <v>314</v>
      </c>
      <c r="G23" s="232" t="s">
        <v>374</v>
      </c>
      <c r="H23" s="232" t="s">
        <v>64</v>
      </c>
      <c r="I23" s="239"/>
    </row>
    <row r="24" spans="1:9" ht="15" x14ac:dyDescent="0.6">
      <c r="A24" s="184"/>
      <c r="B24" s="183"/>
      <c r="C24" s="184"/>
      <c r="D24" s="184"/>
      <c r="E24" s="184"/>
      <c r="F24" s="185"/>
      <c r="G24" s="185"/>
      <c r="H24" s="185"/>
      <c r="I24" s="239"/>
    </row>
    <row r="25" spans="1:9" x14ac:dyDescent="0.35">
      <c r="A25" s="244">
        <v>400</v>
      </c>
      <c r="B25" s="186" t="str">
        <f>'Employer Allocations'!A19</f>
        <v>KCTCS Central Office</v>
      </c>
      <c r="C25" s="339">
        <v>1614723</v>
      </c>
      <c r="D25" s="339">
        <v>2292022</v>
      </c>
      <c r="E25" s="344">
        <v>3906745</v>
      </c>
      <c r="F25" s="340">
        <v>1.5740000000000001E-3</v>
      </c>
      <c r="G25" s="340">
        <v>2.2339999999999999E-3</v>
      </c>
      <c r="H25" s="195">
        <v>3.8079999999999998E-3</v>
      </c>
      <c r="I25" s="239"/>
    </row>
    <row r="26" spans="1:9" x14ac:dyDescent="0.35">
      <c r="A26" s="244">
        <v>801</v>
      </c>
      <c r="B26" s="186" t="str">
        <f>'Employer Allocations'!A20</f>
        <v>KY High School Athletic Association</v>
      </c>
      <c r="C26" s="341">
        <v>100037</v>
      </c>
      <c r="D26" s="341">
        <v>141998</v>
      </c>
      <c r="E26" s="341">
        <v>242035</v>
      </c>
      <c r="F26" s="340">
        <v>9.7999999999999997E-5</v>
      </c>
      <c r="G26" s="340">
        <v>1.3799999999999999E-4</v>
      </c>
      <c r="H26" s="195">
        <v>2.3599999999999999E-4</v>
      </c>
      <c r="I26" s="239"/>
    </row>
    <row r="27" spans="1:9" x14ac:dyDescent="0.35">
      <c r="A27" s="244">
        <v>805</v>
      </c>
      <c r="B27" s="186" t="str">
        <f>'Employer Allocations'!A21</f>
        <v>KY School Boards Association</v>
      </c>
      <c r="C27" s="341">
        <v>163402</v>
      </c>
      <c r="D27" s="341">
        <v>231941</v>
      </c>
      <c r="E27" s="341">
        <v>395343</v>
      </c>
      <c r="F27" s="340">
        <v>1.5899999999999999E-4</v>
      </c>
      <c r="G27" s="340">
        <v>2.2599999999999999E-4</v>
      </c>
      <c r="H27" s="195">
        <v>3.8499999999999998E-4</v>
      </c>
      <c r="I27" s="239"/>
    </row>
    <row r="28" spans="1:9" x14ac:dyDescent="0.35">
      <c r="A28" s="244">
        <v>806</v>
      </c>
      <c r="B28" s="186" t="str">
        <f>'Employer Allocations'!A22</f>
        <v>KY Education Association</v>
      </c>
      <c r="C28" s="341">
        <v>24702</v>
      </c>
      <c r="D28" s="341">
        <v>35063</v>
      </c>
      <c r="E28" s="341">
        <v>59765</v>
      </c>
      <c r="F28" s="340">
        <v>2.4000000000000001E-5</v>
      </c>
      <c r="G28" s="340">
        <v>3.4E-5</v>
      </c>
      <c r="H28" s="195">
        <v>5.8E-5</v>
      </c>
      <c r="I28" s="239"/>
    </row>
    <row r="29" spans="1:9" x14ac:dyDescent="0.35">
      <c r="A29" s="244">
        <v>807</v>
      </c>
      <c r="B29" s="186" t="str">
        <f>'Employer Allocations'!A23</f>
        <v>KY Academic Association</v>
      </c>
      <c r="C29" s="341">
        <v>15945</v>
      </c>
      <c r="D29" s="341">
        <v>22633</v>
      </c>
      <c r="E29" s="341">
        <v>38578</v>
      </c>
      <c r="F29" s="340">
        <v>1.5999999999999999E-5</v>
      </c>
      <c r="G29" s="340">
        <v>2.1999999999999999E-5</v>
      </c>
      <c r="H29" s="195">
        <v>3.8000000000000002E-5</v>
      </c>
      <c r="I29" s="239"/>
    </row>
    <row r="30" spans="1:9" ht="13.75" x14ac:dyDescent="0.45">
      <c r="A30" s="244">
        <v>809</v>
      </c>
      <c r="B30" s="186" t="str">
        <f>'Employer Allocations'!A24</f>
        <v>Jefferson County Teachers' Association</v>
      </c>
      <c r="C30" s="342">
        <v>7309</v>
      </c>
      <c r="D30" s="342">
        <v>10375</v>
      </c>
      <c r="E30" s="342">
        <v>17684</v>
      </c>
      <c r="F30" s="343">
        <v>6.9999999999999999E-6</v>
      </c>
      <c r="G30" s="343">
        <v>1.0000000000000001E-5</v>
      </c>
      <c r="H30" s="196">
        <v>1.7E-5</v>
      </c>
      <c r="I30" s="239"/>
    </row>
    <row r="31" spans="1:9" ht="13.75" x14ac:dyDescent="0.45">
      <c r="A31" s="244"/>
      <c r="B31" s="192"/>
      <c r="C31" s="190"/>
      <c r="D31" s="190"/>
      <c r="E31" s="190"/>
      <c r="F31" s="196"/>
      <c r="G31" s="196"/>
      <c r="H31" s="196"/>
      <c r="I31" s="239"/>
    </row>
    <row r="32" spans="1:9" x14ac:dyDescent="0.35">
      <c r="A32" s="245"/>
      <c r="B32" s="193" t="s">
        <v>715</v>
      </c>
      <c r="C32" s="194">
        <f t="shared" ref="C32:H32" si="0">SUM(C25:C30)</f>
        <v>1926118</v>
      </c>
      <c r="D32" s="194">
        <f t="shared" si="0"/>
        <v>2734032</v>
      </c>
      <c r="E32" s="187">
        <f t="shared" si="0"/>
        <v>4660150</v>
      </c>
      <c r="F32" s="188">
        <f t="shared" si="0"/>
        <v>1.8780000000000001E-3</v>
      </c>
      <c r="G32" s="188">
        <f t="shared" si="0"/>
        <v>2.6640000000000001E-3</v>
      </c>
      <c r="H32" s="188">
        <f t="shared" si="0"/>
        <v>4.5419999999999992E-3</v>
      </c>
      <c r="I32" s="239"/>
    </row>
    <row r="33" spans="1:11" x14ac:dyDescent="0.35">
      <c r="A33" s="245"/>
      <c r="B33" s="193"/>
      <c r="C33" s="194"/>
      <c r="D33" s="193"/>
      <c r="E33" s="193"/>
      <c r="F33" s="185"/>
      <c r="G33" s="185"/>
      <c r="H33" s="195"/>
      <c r="I33" s="237"/>
    </row>
    <row r="34" spans="1:11" hidden="1" x14ac:dyDescent="0.35">
      <c r="A34" s="239"/>
      <c r="B34" s="237"/>
      <c r="C34" s="251"/>
      <c r="D34" s="237"/>
      <c r="E34" s="237"/>
      <c r="F34" s="237"/>
      <c r="G34" s="237"/>
      <c r="H34" s="250"/>
      <c r="I34" s="237"/>
    </row>
    <row r="35" spans="1:11" hidden="1" x14ac:dyDescent="0.35">
      <c r="A35" s="239"/>
      <c r="B35" s="237"/>
      <c r="C35" s="251"/>
      <c r="D35" s="237"/>
      <c r="E35" s="237"/>
      <c r="F35" s="237"/>
      <c r="G35" s="237"/>
      <c r="H35" s="250"/>
      <c r="I35" s="237"/>
    </row>
    <row r="36" spans="1:11" ht="15" x14ac:dyDescent="0.6">
      <c r="A36" s="232"/>
      <c r="B36" s="241"/>
      <c r="C36" s="242" t="s">
        <v>80</v>
      </c>
      <c r="D36" s="243"/>
      <c r="E36" s="243"/>
      <c r="F36" s="242" t="s">
        <v>384</v>
      </c>
      <c r="G36" s="242"/>
      <c r="H36" s="242"/>
      <c r="I36" s="237"/>
    </row>
    <row r="37" spans="1:11" ht="15" x14ac:dyDescent="0.6">
      <c r="A37" s="232" t="s">
        <v>379</v>
      </c>
      <c r="B37" s="231" t="s">
        <v>721</v>
      </c>
      <c r="C37" s="232" t="s">
        <v>314</v>
      </c>
      <c r="D37" s="232" t="s">
        <v>374</v>
      </c>
      <c r="E37" s="232" t="s">
        <v>64</v>
      </c>
      <c r="F37" s="232" t="s">
        <v>314</v>
      </c>
      <c r="G37" s="232" t="s">
        <v>374</v>
      </c>
      <c r="H37" s="232" t="s">
        <v>64</v>
      </c>
      <c r="I37" s="237"/>
      <c r="K37" s="252"/>
    </row>
    <row r="38" spans="1:11" ht="15" x14ac:dyDescent="0.6">
      <c r="A38" s="245"/>
      <c r="B38" s="197"/>
      <c r="C38" s="184"/>
      <c r="D38" s="184"/>
      <c r="E38" s="184"/>
      <c r="F38" s="185"/>
      <c r="G38" s="185"/>
      <c r="H38" s="185"/>
      <c r="I38" s="237"/>
      <c r="K38" s="252"/>
    </row>
    <row r="39" spans="1:11" x14ac:dyDescent="0.35">
      <c r="A39" s="244">
        <v>301</v>
      </c>
      <c r="B39" s="186" t="str">
        <f>'Employer Allocations'!A29</f>
        <v>Technical Education District - Madisonville</v>
      </c>
      <c r="C39" s="339">
        <v>760729</v>
      </c>
      <c r="D39" s="339">
        <v>1079818</v>
      </c>
      <c r="E39" s="344">
        <v>1840547</v>
      </c>
      <c r="F39" s="340">
        <v>7.4200000000000004E-4</v>
      </c>
      <c r="G39" s="340">
        <v>1.0529999999999999E-3</v>
      </c>
      <c r="H39" s="195">
        <v>1.7949999999999999E-3</v>
      </c>
      <c r="I39" s="239"/>
    </row>
    <row r="40" spans="1:11" x14ac:dyDescent="0.35">
      <c r="A40" s="244">
        <v>302</v>
      </c>
      <c r="B40" s="186" t="str">
        <f>'Employer Allocations'!A30</f>
        <v>Technical Education District - Bowling Green</v>
      </c>
      <c r="C40" s="341">
        <v>812396</v>
      </c>
      <c r="D40" s="341">
        <v>1153157</v>
      </c>
      <c r="E40" s="341">
        <v>1965553</v>
      </c>
      <c r="F40" s="340">
        <v>7.9199999999999995E-4</v>
      </c>
      <c r="G40" s="340">
        <v>1.124E-3</v>
      </c>
      <c r="H40" s="195">
        <v>1.916E-3</v>
      </c>
      <c r="I40" s="239"/>
    </row>
    <row r="41" spans="1:11" x14ac:dyDescent="0.35">
      <c r="A41" s="244">
        <v>303</v>
      </c>
      <c r="B41" s="186" t="str">
        <f>'Employer Allocations'!A31</f>
        <v>Technical Education District - Elizabethtown</v>
      </c>
      <c r="C41" s="341">
        <v>0</v>
      </c>
      <c r="D41" s="341">
        <v>0</v>
      </c>
      <c r="E41" s="341">
        <v>0</v>
      </c>
      <c r="F41" s="340">
        <v>0</v>
      </c>
      <c r="G41" s="340">
        <v>0</v>
      </c>
      <c r="H41" s="195">
        <v>0</v>
      </c>
      <c r="I41" s="239"/>
    </row>
    <row r="42" spans="1:11" x14ac:dyDescent="0.35">
      <c r="A42" s="244">
        <v>304</v>
      </c>
      <c r="B42" s="186" t="str">
        <f>'Employer Allocations'!A32</f>
        <v>Technical Education District - Frankfort</v>
      </c>
      <c r="C42" s="341">
        <v>609329</v>
      </c>
      <c r="D42" s="341">
        <v>864913</v>
      </c>
      <c r="E42" s="341">
        <v>1474242</v>
      </c>
      <c r="F42" s="340">
        <v>5.9400000000000002E-4</v>
      </c>
      <c r="G42" s="340">
        <v>8.43E-4</v>
      </c>
      <c r="H42" s="195">
        <v>1.4369999999999999E-3</v>
      </c>
      <c r="I42" s="239"/>
    </row>
    <row r="43" spans="1:11" x14ac:dyDescent="0.35">
      <c r="A43" s="244">
        <v>305</v>
      </c>
      <c r="B43" s="186" t="str">
        <f>'Employer Allocations'!A33</f>
        <v>Technical Education District - Hazard</v>
      </c>
      <c r="C43" s="341">
        <v>750482</v>
      </c>
      <c r="D43" s="341">
        <v>1065273</v>
      </c>
      <c r="E43" s="341">
        <v>1815755</v>
      </c>
      <c r="F43" s="340">
        <v>7.3200000000000001E-4</v>
      </c>
      <c r="G43" s="340">
        <v>1.0380000000000001E-3</v>
      </c>
      <c r="H43" s="195">
        <v>1.7700000000000001E-3</v>
      </c>
      <c r="I43" s="239"/>
    </row>
    <row r="44" spans="1:11" x14ac:dyDescent="0.35">
      <c r="A44" s="244">
        <v>308</v>
      </c>
      <c r="B44" s="186" t="s">
        <v>733</v>
      </c>
      <c r="C44" s="341">
        <v>41402</v>
      </c>
      <c r="D44" s="341">
        <v>58768</v>
      </c>
      <c r="E44" s="341">
        <v>100170</v>
      </c>
      <c r="F44" s="340">
        <v>4.0000000000000003E-5</v>
      </c>
      <c r="G44" s="340">
        <v>5.7000000000000003E-5</v>
      </c>
      <c r="H44" s="195">
        <v>9.7E-5</v>
      </c>
      <c r="I44" s="239"/>
    </row>
    <row r="45" spans="1:11" x14ac:dyDescent="0.35">
      <c r="A45" s="244">
        <v>316</v>
      </c>
      <c r="B45" s="186" t="str">
        <f>'Employer Allocations'!A35</f>
        <v>Office of Career and Technical Education</v>
      </c>
      <c r="C45" s="341">
        <v>275127</v>
      </c>
      <c r="D45" s="341">
        <v>390530</v>
      </c>
      <c r="E45" s="341">
        <v>665657</v>
      </c>
      <c r="F45" s="340">
        <v>2.6800000000000001E-4</v>
      </c>
      <c r="G45" s="340">
        <v>3.8099999999999999E-4</v>
      </c>
      <c r="H45" s="195">
        <v>6.4900000000000005E-4</v>
      </c>
      <c r="I45" s="239"/>
    </row>
    <row r="46" spans="1:11" x14ac:dyDescent="0.35">
      <c r="A46" s="244">
        <v>318</v>
      </c>
      <c r="B46" s="186" t="str">
        <f>'Employer Allocations'!A37</f>
        <v>Department for Vocational Rehabilitation</v>
      </c>
      <c r="C46" s="341">
        <v>1260072</v>
      </c>
      <c r="D46" s="341">
        <v>1788612</v>
      </c>
      <c r="E46" s="341">
        <v>3048684</v>
      </c>
      <c r="F46" s="340">
        <v>1.2279999999999999E-3</v>
      </c>
      <c r="G46" s="340">
        <v>1.7440000000000001E-3</v>
      </c>
      <c r="H46" s="195">
        <v>2.9719999999999998E-3</v>
      </c>
      <c r="I46" s="239"/>
    </row>
    <row r="47" spans="1:11" x14ac:dyDescent="0.35">
      <c r="A47" s="244">
        <v>320</v>
      </c>
      <c r="B47" s="186" t="str">
        <f>'Employer Allocations'!A38</f>
        <v>School for the Blind</v>
      </c>
      <c r="C47" s="341">
        <v>331304</v>
      </c>
      <c r="D47" s="341">
        <v>470270</v>
      </c>
      <c r="E47" s="341">
        <v>801574</v>
      </c>
      <c r="F47" s="340">
        <v>3.2299999999999999E-4</v>
      </c>
      <c r="G47" s="340">
        <v>4.5800000000000002E-4</v>
      </c>
      <c r="H47" s="195">
        <v>7.8100000000000001E-4</v>
      </c>
      <c r="I47" s="239"/>
      <c r="K47" s="253"/>
    </row>
    <row r="48" spans="1:11" ht="15" x14ac:dyDescent="0.6">
      <c r="A48" s="244">
        <v>330</v>
      </c>
      <c r="B48" s="186" t="str">
        <f>'Employer Allocations'!A39</f>
        <v>School for the Deaf</v>
      </c>
      <c r="C48" s="341">
        <v>190534</v>
      </c>
      <c r="D48" s="341">
        <v>270454</v>
      </c>
      <c r="E48" s="341">
        <v>460988</v>
      </c>
      <c r="F48" s="340">
        <v>1.8599999999999999E-4</v>
      </c>
      <c r="G48" s="340">
        <v>2.6400000000000002E-4</v>
      </c>
      <c r="H48" s="195">
        <v>4.4999999999999999E-4</v>
      </c>
      <c r="I48" s="239"/>
      <c r="K48" s="252"/>
    </row>
    <row r="49" spans="1:21" x14ac:dyDescent="0.35">
      <c r="A49" s="244">
        <v>345</v>
      </c>
      <c r="B49" s="186" t="str">
        <f>'Employer Allocations'!A40</f>
        <v>Department of Education</v>
      </c>
      <c r="C49" s="341">
        <v>1779809</v>
      </c>
      <c r="D49" s="341">
        <v>2526354</v>
      </c>
      <c r="E49" s="341">
        <v>4306163</v>
      </c>
      <c r="F49" s="340">
        <v>1.7340000000000001E-3</v>
      </c>
      <c r="G49" s="340">
        <v>2.4629999999999999E-3</v>
      </c>
      <c r="H49" s="195">
        <v>4.1970000000000002E-3</v>
      </c>
      <c r="I49" s="239"/>
    </row>
    <row r="50" spans="1:21" ht="13.75" x14ac:dyDescent="0.45">
      <c r="A50" s="244">
        <v>728</v>
      </c>
      <c r="B50" s="186" t="str">
        <f>'Employer Allocations'!A41</f>
        <v>Department of Corrections</v>
      </c>
      <c r="C50" s="342">
        <v>7495</v>
      </c>
      <c r="D50" s="342">
        <v>10639</v>
      </c>
      <c r="E50" s="342">
        <v>18134</v>
      </c>
      <c r="F50" s="343">
        <v>6.9999999999999999E-6</v>
      </c>
      <c r="G50" s="343">
        <v>1.0000000000000001E-5</v>
      </c>
      <c r="H50" s="196">
        <v>1.7E-5</v>
      </c>
      <c r="I50" s="239"/>
    </row>
    <row r="51" spans="1:21" ht="13.75" x14ac:dyDescent="0.45">
      <c r="A51" s="244"/>
      <c r="B51" s="198"/>
      <c r="C51" s="190"/>
      <c r="D51" s="190"/>
      <c r="E51" s="190"/>
      <c r="F51" s="196"/>
      <c r="G51" s="196"/>
      <c r="H51" s="196"/>
      <c r="I51" s="239"/>
    </row>
    <row r="52" spans="1:21" x14ac:dyDescent="0.35">
      <c r="A52" s="245"/>
      <c r="B52" s="193" t="s">
        <v>710</v>
      </c>
      <c r="C52" s="194">
        <f t="shared" ref="C52:H52" si="1">SUM(C39:C50)</f>
        <v>6818679</v>
      </c>
      <c r="D52" s="187">
        <f t="shared" si="1"/>
        <v>9678788</v>
      </c>
      <c r="E52" s="187">
        <f t="shared" si="1"/>
        <v>16497467</v>
      </c>
      <c r="F52" s="188">
        <f t="shared" si="1"/>
        <v>6.6460000000000017E-3</v>
      </c>
      <c r="G52" s="188">
        <f t="shared" si="1"/>
        <v>9.4349999999999989E-3</v>
      </c>
      <c r="H52" s="188">
        <f t="shared" si="1"/>
        <v>1.6081000000000002E-2</v>
      </c>
      <c r="I52" s="239"/>
    </row>
    <row r="53" spans="1:21" x14ac:dyDescent="0.35">
      <c r="A53" s="245"/>
      <c r="B53" s="193"/>
      <c r="C53" s="194"/>
      <c r="D53" s="193"/>
      <c r="E53" s="187"/>
      <c r="F53" s="254"/>
      <c r="G53" s="188"/>
      <c r="H53" s="188"/>
      <c r="I53" s="249"/>
    </row>
    <row r="54" spans="1:21" hidden="1" x14ac:dyDescent="0.35">
      <c r="A54" s="239"/>
      <c r="B54" s="237"/>
      <c r="C54" s="248"/>
      <c r="D54" s="237"/>
      <c r="E54" s="255"/>
      <c r="F54" s="255"/>
      <c r="G54" s="256"/>
      <c r="H54" s="256"/>
      <c r="I54" s="256"/>
    </row>
    <row r="55" spans="1:21" hidden="1" x14ac:dyDescent="0.35">
      <c r="A55" s="239"/>
      <c r="B55" s="237"/>
      <c r="C55" s="239"/>
      <c r="D55" s="239"/>
      <c r="E55" s="239"/>
      <c r="F55" s="255"/>
      <c r="G55" s="249"/>
      <c r="H55" s="249"/>
      <c r="I55" s="249"/>
    </row>
    <row r="56" spans="1:21" ht="15" x14ac:dyDescent="0.6">
      <c r="A56" s="232"/>
      <c r="B56" s="231" t="s">
        <v>9</v>
      </c>
      <c r="C56" s="242" t="s">
        <v>80</v>
      </c>
      <c r="D56" s="243"/>
      <c r="E56" s="243"/>
      <c r="F56" s="242" t="s">
        <v>384</v>
      </c>
      <c r="G56" s="242"/>
      <c r="H56" s="242"/>
      <c r="I56" s="237"/>
      <c r="N56" s="232"/>
      <c r="O56" s="231"/>
      <c r="P56" s="242"/>
      <c r="Q56" s="243"/>
      <c r="R56" s="243"/>
      <c r="S56" s="242"/>
      <c r="T56" s="242"/>
      <c r="U56" s="242"/>
    </row>
    <row r="57" spans="1:21" x14ac:dyDescent="0.35">
      <c r="A57" s="232" t="s">
        <v>379</v>
      </c>
      <c r="B57" s="231" t="s">
        <v>383</v>
      </c>
      <c r="C57" s="232" t="s">
        <v>314</v>
      </c>
      <c r="D57" s="232" t="s">
        <v>374</v>
      </c>
      <c r="E57" s="232" t="s">
        <v>64</v>
      </c>
      <c r="F57" s="232" t="s">
        <v>314</v>
      </c>
      <c r="G57" s="232" t="s">
        <v>374</v>
      </c>
      <c r="H57" s="232" t="s">
        <v>64</v>
      </c>
      <c r="I57" s="237"/>
      <c r="N57" s="232"/>
      <c r="O57" s="231"/>
      <c r="P57" s="232"/>
      <c r="Q57" s="232"/>
      <c r="R57" s="232"/>
      <c r="S57" s="232"/>
      <c r="T57" s="232"/>
      <c r="U57" s="232"/>
    </row>
    <row r="58" spans="1:21" ht="15" x14ac:dyDescent="0.6">
      <c r="A58" s="245"/>
      <c r="B58" s="197"/>
      <c r="C58" s="184"/>
      <c r="D58" s="184"/>
      <c r="E58" s="184"/>
      <c r="F58" s="185"/>
      <c r="G58" s="185"/>
      <c r="H58" s="185"/>
      <c r="I58" s="237"/>
    </row>
    <row r="59" spans="1:21" x14ac:dyDescent="0.35">
      <c r="A59" s="244">
        <v>1</v>
      </c>
      <c r="B59" s="186" t="str">
        <f>'Employer Allocations'!A49</f>
        <v>Adair County Schools</v>
      </c>
      <c r="C59" s="194">
        <v>0</v>
      </c>
      <c r="D59" s="194">
        <v>3304593</v>
      </c>
      <c r="E59" s="194">
        <v>3304593</v>
      </c>
      <c r="F59" s="188">
        <v>0</v>
      </c>
      <c r="G59" s="188">
        <v>3.2209999999999999E-3</v>
      </c>
      <c r="H59" s="188">
        <v>3.2209999999999999E-3</v>
      </c>
      <c r="I59" s="239"/>
      <c r="N59" s="244"/>
      <c r="O59" s="186"/>
      <c r="P59" s="189"/>
      <c r="Q59" s="189"/>
      <c r="R59" s="199"/>
      <c r="S59" s="188"/>
      <c r="T59" s="188"/>
      <c r="U59" s="188"/>
    </row>
    <row r="60" spans="1:21" x14ac:dyDescent="0.35">
      <c r="A60" s="244">
        <v>2</v>
      </c>
      <c r="B60" s="186" t="str">
        <f>'Employer Allocations'!A50</f>
        <v>Allen County Schools</v>
      </c>
      <c r="C60" s="189">
        <v>0</v>
      </c>
      <c r="D60" s="189">
        <v>3795659</v>
      </c>
      <c r="E60" s="199">
        <v>3795659</v>
      </c>
      <c r="F60" s="188">
        <v>0</v>
      </c>
      <c r="G60" s="188">
        <v>3.7000000000000002E-3</v>
      </c>
      <c r="H60" s="188">
        <v>3.7000000000000002E-3</v>
      </c>
      <c r="I60" s="239"/>
      <c r="N60" s="244"/>
      <c r="O60" s="186"/>
      <c r="P60" s="189"/>
      <c r="Q60" s="189"/>
      <c r="R60" s="199"/>
      <c r="S60" s="188"/>
      <c r="T60" s="188"/>
      <c r="U60" s="188"/>
    </row>
    <row r="61" spans="1:21" x14ac:dyDescent="0.35">
      <c r="A61" s="244">
        <v>3</v>
      </c>
      <c r="B61" s="186" t="str">
        <f>'Employer Allocations'!A51</f>
        <v>Anderson County Schools</v>
      </c>
      <c r="C61" s="189">
        <v>0</v>
      </c>
      <c r="D61" s="189">
        <v>4677462</v>
      </c>
      <c r="E61" s="199">
        <v>4677462</v>
      </c>
      <c r="F61" s="188">
        <v>0</v>
      </c>
      <c r="G61" s="188">
        <v>4.5599999999999998E-3</v>
      </c>
      <c r="H61" s="188">
        <v>4.5599999999999998E-3</v>
      </c>
      <c r="I61" s="239"/>
      <c r="N61" s="244"/>
      <c r="O61" s="186"/>
      <c r="P61" s="189"/>
      <c r="Q61" s="189"/>
      <c r="R61" s="199"/>
      <c r="S61" s="188"/>
      <c r="T61" s="188"/>
      <c r="U61" s="188"/>
    </row>
    <row r="62" spans="1:21" x14ac:dyDescent="0.35">
      <c r="A62" s="244">
        <v>4</v>
      </c>
      <c r="B62" s="186" t="str">
        <f>'Employer Allocations'!A52</f>
        <v>Ballard County Schools</v>
      </c>
      <c r="C62" s="189">
        <v>0</v>
      </c>
      <c r="D62" s="189">
        <v>1543392</v>
      </c>
      <c r="E62" s="199">
        <v>1543392</v>
      </c>
      <c r="F62" s="188">
        <v>0</v>
      </c>
      <c r="G62" s="188">
        <v>1.5039999999999999E-3</v>
      </c>
      <c r="H62" s="188">
        <v>1.5039999999999999E-3</v>
      </c>
      <c r="I62" s="239"/>
      <c r="N62" s="244"/>
      <c r="O62" s="186"/>
      <c r="P62" s="189"/>
      <c r="Q62" s="189"/>
      <c r="R62" s="199"/>
      <c r="S62" s="188"/>
      <c r="T62" s="188"/>
      <c r="U62" s="188"/>
    </row>
    <row r="63" spans="1:21" x14ac:dyDescent="0.35">
      <c r="A63" s="244">
        <v>5</v>
      </c>
      <c r="B63" s="186" t="str">
        <f>'Employer Allocations'!A53</f>
        <v>Barren County Schools</v>
      </c>
      <c r="C63" s="189">
        <v>0</v>
      </c>
      <c r="D63" s="189">
        <v>6541406</v>
      </c>
      <c r="E63" s="199">
        <v>6541406</v>
      </c>
      <c r="F63" s="188">
        <v>0</v>
      </c>
      <c r="G63" s="188">
        <v>6.3769999999999999E-3</v>
      </c>
      <c r="H63" s="188">
        <v>6.3769999999999999E-3</v>
      </c>
      <c r="I63" s="239"/>
      <c r="N63" s="244"/>
      <c r="O63" s="186"/>
      <c r="P63" s="189"/>
      <c r="Q63" s="189"/>
      <c r="R63" s="199"/>
      <c r="S63" s="188"/>
      <c r="T63" s="188"/>
      <c r="U63" s="188"/>
    </row>
    <row r="64" spans="1:21" x14ac:dyDescent="0.35">
      <c r="A64" s="244">
        <v>6</v>
      </c>
      <c r="B64" s="186" t="str">
        <f>'Employer Allocations'!A54</f>
        <v>Bath County Schools</v>
      </c>
      <c r="C64" s="189">
        <v>0</v>
      </c>
      <c r="D64" s="189">
        <v>2412504</v>
      </c>
      <c r="E64" s="199">
        <v>2412504</v>
      </c>
      <c r="F64" s="188">
        <v>0</v>
      </c>
      <c r="G64" s="188">
        <v>2.3519999999999999E-3</v>
      </c>
      <c r="H64" s="188">
        <v>2.3519999999999999E-3</v>
      </c>
      <c r="I64" s="239"/>
      <c r="N64" s="244"/>
      <c r="O64" s="186"/>
      <c r="P64" s="189"/>
      <c r="Q64" s="189"/>
      <c r="R64" s="199"/>
      <c r="S64" s="188"/>
      <c r="T64" s="188"/>
      <c r="U64" s="188"/>
    </row>
    <row r="65" spans="1:21" x14ac:dyDescent="0.35">
      <c r="A65" s="244">
        <v>7</v>
      </c>
      <c r="B65" s="186" t="str">
        <f>'Employer Allocations'!A55</f>
        <v>Bell County Schools</v>
      </c>
      <c r="C65" s="189">
        <v>0</v>
      </c>
      <c r="D65" s="189">
        <v>3341025</v>
      </c>
      <c r="E65" s="199">
        <v>3341025</v>
      </c>
      <c r="F65" s="188">
        <v>0</v>
      </c>
      <c r="G65" s="188">
        <v>3.2569999999999999E-3</v>
      </c>
      <c r="H65" s="188">
        <v>3.2569999999999999E-3</v>
      </c>
      <c r="I65" s="239"/>
      <c r="N65" s="244"/>
      <c r="O65" s="186"/>
      <c r="P65" s="189"/>
      <c r="Q65" s="189"/>
      <c r="R65" s="199"/>
      <c r="S65" s="188"/>
      <c r="T65" s="188"/>
      <c r="U65" s="188"/>
    </row>
    <row r="66" spans="1:21" ht="15" hidden="1" x14ac:dyDescent="0.6">
      <c r="A66" s="232"/>
      <c r="B66" s="231" t="s">
        <v>9</v>
      </c>
      <c r="C66" s="242" t="s">
        <v>80</v>
      </c>
      <c r="D66" s="243"/>
      <c r="E66" s="243"/>
      <c r="F66" s="242" t="s">
        <v>384</v>
      </c>
      <c r="G66" s="242"/>
      <c r="H66" s="242"/>
      <c r="I66" s="239"/>
      <c r="N66" s="244"/>
      <c r="O66" s="186"/>
      <c r="P66" s="189"/>
      <c r="Q66" s="189"/>
      <c r="R66" s="199"/>
      <c r="S66" s="188"/>
      <c r="T66" s="188"/>
      <c r="U66" s="188"/>
    </row>
    <row r="67" spans="1:21" hidden="1" x14ac:dyDescent="0.35">
      <c r="A67" s="232" t="s">
        <v>379</v>
      </c>
      <c r="B67" s="231" t="s">
        <v>383</v>
      </c>
      <c r="C67" s="232" t="s">
        <v>314</v>
      </c>
      <c r="D67" s="232" t="s">
        <v>374</v>
      </c>
      <c r="E67" s="232" t="s">
        <v>64</v>
      </c>
      <c r="F67" s="232" t="s">
        <v>314</v>
      </c>
      <c r="G67" s="232" t="s">
        <v>374</v>
      </c>
      <c r="H67" s="232" t="s">
        <v>64</v>
      </c>
      <c r="I67" s="239"/>
      <c r="N67" s="244"/>
      <c r="O67" s="186"/>
      <c r="P67" s="189"/>
      <c r="Q67" s="189"/>
      <c r="R67" s="199"/>
      <c r="S67" s="188"/>
      <c r="T67" s="188"/>
      <c r="U67" s="188"/>
    </row>
    <row r="68" spans="1:21" ht="15" hidden="1" x14ac:dyDescent="0.6">
      <c r="A68" s="245"/>
      <c r="B68" s="197"/>
      <c r="C68" s="184"/>
      <c r="D68" s="184"/>
      <c r="E68" s="184"/>
      <c r="F68" s="185"/>
      <c r="G68" s="185"/>
      <c r="H68" s="185"/>
      <c r="I68" s="239"/>
      <c r="N68" s="244"/>
      <c r="O68" s="186"/>
      <c r="P68" s="189"/>
      <c r="Q68" s="189"/>
      <c r="R68" s="199"/>
      <c r="S68" s="188"/>
      <c r="T68" s="188"/>
      <c r="U68" s="188"/>
    </row>
    <row r="69" spans="1:21" x14ac:dyDescent="0.35">
      <c r="A69" s="244">
        <v>8</v>
      </c>
      <c r="B69" s="186" t="str">
        <f>'Employer Allocations'!A56</f>
        <v>Boone County Schools</v>
      </c>
      <c r="C69" s="189">
        <v>0</v>
      </c>
      <c r="D69" s="189">
        <v>32941699</v>
      </c>
      <c r="E69" s="199">
        <v>32941699</v>
      </c>
      <c r="F69" s="188">
        <v>0</v>
      </c>
      <c r="G69" s="188">
        <v>3.2111000000000001E-2</v>
      </c>
      <c r="H69" s="188">
        <v>3.2111000000000001E-2</v>
      </c>
      <c r="I69" s="239"/>
      <c r="N69" s="244"/>
      <c r="O69" s="186"/>
      <c r="P69" s="189"/>
      <c r="Q69" s="189"/>
      <c r="R69" s="199"/>
      <c r="S69" s="188"/>
      <c r="T69" s="188"/>
      <c r="U69" s="188"/>
    </row>
    <row r="70" spans="1:21" x14ac:dyDescent="0.35">
      <c r="A70" s="244">
        <v>9</v>
      </c>
      <c r="B70" s="186" t="str">
        <f>'Employer Allocations'!A57</f>
        <v>Bourbon County Schools</v>
      </c>
      <c r="C70" s="189">
        <v>0</v>
      </c>
      <c r="D70" s="189">
        <v>3505747</v>
      </c>
      <c r="E70" s="199">
        <v>3505747</v>
      </c>
      <c r="F70" s="188">
        <v>0</v>
      </c>
      <c r="G70" s="188">
        <v>3.4169999999999999E-3</v>
      </c>
      <c r="H70" s="188">
        <v>3.4169999999999999E-3</v>
      </c>
      <c r="I70" s="239"/>
      <c r="N70" s="244"/>
      <c r="O70" s="186"/>
      <c r="P70" s="189"/>
      <c r="Q70" s="189"/>
      <c r="R70" s="199"/>
      <c r="S70" s="188"/>
      <c r="T70" s="188"/>
      <c r="U70" s="188"/>
    </row>
    <row r="71" spans="1:21" x14ac:dyDescent="0.35">
      <c r="A71" s="244">
        <v>10</v>
      </c>
      <c r="B71" s="186" t="str">
        <f>'Employer Allocations'!A58</f>
        <v>Boyd County Schools</v>
      </c>
      <c r="C71" s="189">
        <v>0</v>
      </c>
      <c r="D71" s="189">
        <v>4665669</v>
      </c>
      <c r="E71" s="199">
        <v>4665669</v>
      </c>
      <c r="F71" s="188">
        <v>0</v>
      </c>
      <c r="G71" s="188">
        <v>4.548E-3</v>
      </c>
      <c r="H71" s="188">
        <v>4.548E-3</v>
      </c>
      <c r="I71" s="239"/>
      <c r="N71" s="244"/>
      <c r="O71" s="186"/>
      <c r="P71" s="189"/>
      <c r="Q71" s="189"/>
      <c r="R71" s="199"/>
      <c r="S71" s="188"/>
      <c r="T71" s="188"/>
      <c r="U71" s="188"/>
    </row>
    <row r="72" spans="1:21" x14ac:dyDescent="0.35">
      <c r="A72" s="244">
        <v>11</v>
      </c>
      <c r="B72" s="186" t="str">
        <f>'Employer Allocations'!A59</f>
        <v>Boyle County Schools</v>
      </c>
      <c r="C72" s="189">
        <v>0</v>
      </c>
      <c r="D72" s="189">
        <v>4360668</v>
      </c>
      <c r="E72" s="199">
        <v>4360668</v>
      </c>
      <c r="F72" s="188">
        <v>0</v>
      </c>
      <c r="G72" s="188">
        <v>4.2509999999999996E-3</v>
      </c>
      <c r="H72" s="188">
        <v>4.2509999999999996E-3</v>
      </c>
      <c r="I72" s="239"/>
      <c r="N72" s="244"/>
      <c r="O72" s="186"/>
      <c r="P72" s="189"/>
      <c r="Q72" s="189"/>
      <c r="R72" s="199"/>
      <c r="S72" s="188"/>
      <c r="T72" s="188"/>
      <c r="U72" s="188"/>
    </row>
    <row r="73" spans="1:21" x14ac:dyDescent="0.35">
      <c r="A73" s="244">
        <v>12</v>
      </c>
      <c r="B73" s="186" t="str">
        <f>'Employer Allocations'!A60</f>
        <v>Bracken County Schools</v>
      </c>
      <c r="C73" s="189">
        <v>0</v>
      </c>
      <c r="D73" s="189">
        <v>1647938</v>
      </c>
      <c r="E73" s="199">
        <v>1647938</v>
      </c>
      <c r="F73" s="188">
        <v>0</v>
      </c>
      <c r="G73" s="188">
        <v>1.606E-3</v>
      </c>
      <c r="H73" s="188">
        <v>1.606E-3</v>
      </c>
      <c r="I73" s="239"/>
      <c r="N73" s="244"/>
      <c r="O73" s="186"/>
      <c r="P73" s="189"/>
      <c r="Q73" s="189"/>
      <c r="R73" s="199"/>
      <c r="S73" s="188"/>
      <c r="T73" s="188"/>
      <c r="U73" s="188"/>
    </row>
    <row r="74" spans="1:21" x14ac:dyDescent="0.35">
      <c r="A74" s="244">
        <v>13</v>
      </c>
      <c r="B74" s="186" t="str">
        <f>'Employer Allocations'!A61</f>
        <v>Breathitt County Schools</v>
      </c>
      <c r="C74" s="189">
        <v>0</v>
      </c>
      <c r="D74" s="189">
        <v>2306930</v>
      </c>
      <c r="E74" s="199">
        <v>2306930</v>
      </c>
      <c r="F74" s="188">
        <v>0</v>
      </c>
      <c r="G74" s="188">
        <v>2.2490000000000001E-3</v>
      </c>
      <c r="H74" s="188">
        <v>2.2490000000000001E-3</v>
      </c>
      <c r="I74" s="239"/>
      <c r="N74" s="244"/>
      <c r="O74" s="186"/>
      <c r="P74" s="189"/>
      <c r="Q74" s="189"/>
      <c r="R74" s="199"/>
      <c r="S74" s="188"/>
      <c r="T74" s="188"/>
      <c r="U74" s="188"/>
    </row>
    <row r="75" spans="1:21" x14ac:dyDescent="0.35">
      <c r="A75" s="244">
        <v>14</v>
      </c>
      <c r="B75" s="186" t="str">
        <f>'Employer Allocations'!A62</f>
        <v>Breckinridge County Schools</v>
      </c>
      <c r="C75" s="189">
        <v>0</v>
      </c>
      <c r="D75" s="189">
        <v>3507343</v>
      </c>
      <c r="E75" s="199">
        <v>3507343</v>
      </c>
      <c r="F75" s="188">
        <v>0</v>
      </c>
      <c r="G75" s="188">
        <v>3.4190000000000002E-3</v>
      </c>
      <c r="H75" s="188">
        <v>3.4190000000000002E-3</v>
      </c>
      <c r="I75" s="239"/>
      <c r="N75" s="244"/>
      <c r="O75" s="186"/>
      <c r="P75" s="189"/>
      <c r="Q75" s="189"/>
      <c r="R75" s="199"/>
      <c r="S75" s="188"/>
      <c r="T75" s="188"/>
      <c r="U75" s="188"/>
    </row>
    <row r="76" spans="1:21" x14ac:dyDescent="0.35">
      <c r="A76" s="244">
        <v>15</v>
      </c>
      <c r="B76" s="186" t="str">
        <f>'Employer Allocations'!A63</f>
        <v>Bullitt County Schools</v>
      </c>
      <c r="C76" s="189">
        <v>0</v>
      </c>
      <c r="D76" s="189">
        <v>18460984</v>
      </c>
      <c r="E76" s="199">
        <v>18460984</v>
      </c>
      <c r="F76" s="188">
        <v>0</v>
      </c>
      <c r="G76" s="188">
        <v>1.7996000000000002E-2</v>
      </c>
      <c r="H76" s="188">
        <v>1.7996000000000002E-2</v>
      </c>
      <c r="I76" s="239"/>
      <c r="N76" s="244"/>
      <c r="O76" s="186"/>
      <c r="P76" s="189"/>
      <c r="Q76" s="189"/>
      <c r="R76" s="199"/>
      <c r="S76" s="188"/>
      <c r="T76" s="188"/>
      <c r="U76" s="188"/>
    </row>
    <row r="77" spans="1:21" x14ac:dyDescent="0.35">
      <c r="A77" s="244">
        <v>16</v>
      </c>
      <c r="B77" s="186" t="str">
        <f>'Employer Allocations'!A64</f>
        <v>Butler County Schools</v>
      </c>
      <c r="C77" s="189">
        <v>0</v>
      </c>
      <c r="D77" s="189">
        <v>2751161</v>
      </c>
      <c r="E77" s="199">
        <v>2751161</v>
      </c>
      <c r="F77" s="188">
        <v>0</v>
      </c>
      <c r="G77" s="188">
        <v>2.6819999999999999E-3</v>
      </c>
      <c r="H77" s="188">
        <v>2.6819999999999999E-3</v>
      </c>
      <c r="I77" s="239"/>
      <c r="N77" s="244"/>
      <c r="O77" s="186"/>
      <c r="P77" s="189"/>
      <c r="Q77" s="189"/>
      <c r="R77" s="199"/>
      <c r="S77" s="188"/>
      <c r="T77" s="188"/>
      <c r="U77" s="188"/>
    </row>
    <row r="78" spans="1:21" x14ac:dyDescent="0.35">
      <c r="A78" s="244">
        <v>17</v>
      </c>
      <c r="B78" s="186" t="str">
        <f>'Employer Allocations'!A65</f>
        <v>Caldwell County Schools</v>
      </c>
      <c r="C78" s="189">
        <v>0</v>
      </c>
      <c r="D78" s="189">
        <v>2298945</v>
      </c>
      <c r="E78" s="199">
        <v>2298945</v>
      </c>
      <c r="F78" s="188">
        <v>0</v>
      </c>
      <c r="G78" s="188">
        <v>2.2409999999999999E-3</v>
      </c>
      <c r="H78" s="188">
        <v>2.2409999999999999E-3</v>
      </c>
      <c r="I78" s="239"/>
      <c r="N78" s="244"/>
      <c r="O78" s="186"/>
      <c r="P78" s="189"/>
      <c r="Q78" s="189"/>
      <c r="R78" s="199"/>
      <c r="S78" s="188"/>
      <c r="T78" s="188"/>
      <c r="U78" s="188"/>
    </row>
    <row r="79" spans="1:21" x14ac:dyDescent="0.35">
      <c r="A79" s="244">
        <v>18</v>
      </c>
      <c r="B79" s="186" t="str">
        <f>'Employer Allocations'!A66</f>
        <v>Calloway County Schools</v>
      </c>
      <c r="C79" s="189">
        <v>0</v>
      </c>
      <c r="D79" s="189">
        <v>3934871</v>
      </c>
      <c r="E79" s="199">
        <v>3934871</v>
      </c>
      <c r="F79" s="188">
        <v>0</v>
      </c>
      <c r="G79" s="188">
        <v>3.836E-3</v>
      </c>
      <c r="H79" s="188">
        <v>3.836E-3</v>
      </c>
      <c r="I79" s="239"/>
      <c r="N79" s="244"/>
      <c r="O79" s="186"/>
      <c r="P79" s="189"/>
      <c r="Q79" s="189"/>
      <c r="R79" s="199"/>
      <c r="S79" s="188"/>
      <c r="T79" s="188"/>
      <c r="U79" s="188"/>
    </row>
    <row r="80" spans="1:21" x14ac:dyDescent="0.35">
      <c r="A80" s="244">
        <v>19</v>
      </c>
      <c r="B80" s="186" t="str">
        <f>'Employer Allocations'!A67</f>
        <v>Campbell County Schools</v>
      </c>
      <c r="C80" s="189">
        <v>0</v>
      </c>
      <c r="D80" s="189">
        <v>7344855</v>
      </c>
      <c r="E80" s="199">
        <v>7344855</v>
      </c>
      <c r="F80" s="188">
        <v>0</v>
      </c>
      <c r="G80" s="188">
        <v>7.1599999999999997E-3</v>
      </c>
      <c r="H80" s="188">
        <v>7.1599999999999997E-3</v>
      </c>
      <c r="I80" s="239"/>
      <c r="N80" s="244"/>
      <c r="O80" s="186"/>
      <c r="P80" s="189"/>
      <c r="Q80" s="189"/>
      <c r="R80" s="199"/>
      <c r="S80" s="188"/>
      <c r="T80" s="188"/>
      <c r="U80" s="188"/>
    </row>
    <row r="81" spans="1:21" x14ac:dyDescent="0.35">
      <c r="A81" s="244">
        <v>20</v>
      </c>
      <c r="B81" s="186" t="str">
        <f>'Employer Allocations'!A68</f>
        <v>Carlisle County Schools</v>
      </c>
      <c r="C81" s="189">
        <v>0</v>
      </c>
      <c r="D81" s="189">
        <v>1044339</v>
      </c>
      <c r="E81" s="199">
        <v>1044339</v>
      </c>
      <c r="F81" s="188">
        <v>0</v>
      </c>
      <c r="G81" s="188">
        <v>1.018E-3</v>
      </c>
      <c r="H81" s="188">
        <v>1.018E-3</v>
      </c>
      <c r="I81" s="239"/>
      <c r="N81" s="244"/>
      <c r="O81" s="186"/>
      <c r="P81" s="189"/>
      <c r="Q81" s="189"/>
      <c r="R81" s="199"/>
      <c r="S81" s="188"/>
      <c r="T81" s="188"/>
      <c r="U81" s="188"/>
    </row>
    <row r="82" spans="1:21" x14ac:dyDescent="0.35">
      <c r="A82" s="244">
        <v>21</v>
      </c>
      <c r="B82" s="186" t="str">
        <f>'Employer Allocations'!A69</f>
        <v>Carroll County Schools</v>
      </c>
      <c r="C82" s="189">
        <v>0</v>
      </c>
      <c r="D82" s="189">
        <v>3015055</v>
      </c>
      <c r="E82" s="199">
        <v>3015055</v>
      </c>
      <c r="F82" s="188">
        <v>0</v>
      </c>
      <c r="G82" s="188">
        <v>2.9390000000000002E-3</v>
      </c>
      <c r="H82" s="188">
        <v>2.9390000000000002E-3</v>
      </c>
      <c r="I82" s="239"/>
      <c r="N82" s="244"/>
      <c r="O82" s="186"/>
      <c r="P82" s="189"/>
      <c r="Q82" s="189"/>
      <c r="R82" s="199"/>
      <c r="S82" s="188"/>
      <c r="T82" s="188"/>
      <c r="U82" s="188"/>
    </row>
    <row r="83" spans="1:21" x14ac:dyDescent="0.35">
      <c r="A83" s="244">
        <v>22</v>
      </c>
      <c r="B83" s="186" t="str">
        <f>'Employer Allocations'!A70</f>
        <v>Carter County Schools</v>
      </c>
      <c r="C83" s="189">
        <v>0</v>
      </c>
      <c r="D83" s="189">
        <v>5256633</v>
      </c>
      <c r="E83" s="199">
        <v>5256633</v>
      </c>
      <c r="F83" s="188">
        <v>0</v>
      </c>
      <c r="G83" s="188">
        <v>5.1240000000000001E-3</v>
      </c>
      <c r="H83" s="188">
        <v>5.1240000000000001E-3</v>
      </c>
      <c r="I83" s="239"/>
      <c r="N83" s="244"/>
      <c r="O83" s="186"/>
      <c r="P83" s="189"/>
      <c r="Q83" s="189"/>
      <c r="R83" s="199"/>
      <c r="S83" s="188"/>
      <c r="T83" s="188"/>
      <c r="U83" s="188"/>
    </row>
    <row r="84" spans="1:21" x14ac:dyDescent="0.35">
      <c r="A84" s="244">
        <v>23</v>
      </c>
      <c r="B84" s="186" t="str">
        <f>'Employer Allocations'!A71</f>
        <v>Casey County Schools</v>
      </c>
      <c r="C84" s="189">
        <v>0</v>
      </c>
      <c r="D84" s="189">
        <v>2712787</v>
      </c>
      <c r="E84" s="199">
        <v>2712787</v>
      </c>
      <c r="F84" s="188">
        <v>0</v>
      </c>
      <c r="G84" s="188">
        <v>2.6440000000000001E-3</v>
      </c>
      <c r="H84" s="188">
        <v>2.6440000000000001E-3</v>
      </c>
      <c r="I84" s="239"/>
    </row>
    <row r="85" spans="1:21" x14ac:dyDescent="0.35">
      <c r="A85" s="244">
        <v>24</v>
      </c>
      <c r="B85" s="186" t="str">
        <f>'Employer Allocations'!A72</f>
        <v>Christian County Schools</v>
      </c>
      <c r="C85" s="189">
        <v>0</v>
      </c>
      <c r="D85" s="189">
        <v>10377613</v>
      </c>
      <c r="E85" s="199">
        <v>10377613</v>
      </c>
      <c r="F85" s="188">
        <v>0</v>
      </c>
      <c r="G85" s="188">
        <v>1.0116E-2</v>
      </c>
      <c r="H85" s="188">
        <v>1.0116E-2</v>
      </c>
      <c r="I85" s="239"/>
    </row>
    <row r="86" spans="1:21" x14ac:dyDescent="0.35">
      <c r="A86" s="244">
        <v>25</v>
      </c>
      <c r="B86" s="186" t="str">
        <f>'Employer Allocations'!A73</f>
        <v>Clark County Schools</v>
      </c>
      <c r="C86" s="189">
        <v>0</v>
      </c>
      <c r="D86" s="189">
        <v>7501718</v>
      </c>
      <c r="E86" s="199">
        <v>7501718</v>
      </c>
      <c r="F86" s="188">
        <v>0</v>
      </c>
      <c r="G86" s="188">
        <v>7.3130000000000001E-3</v>
      </c>
      <c r="H86" s="188">
        <v>7.3130000000000001E-3</v>
      </c>
      <c r="I86" s="239"/>
    </row>
    <row r="87" spans="1:21" x14ac:dyDescent="0.35">
      <c r="A87" s="244">
        <v>26</v>
      </c>
      <c r="B87" s="186" t="str">
        <f>'Employer Allocations'!A74</f>
        <v>Clay County Schools</v>
      </c>
      <c r="C87" s="189">
        <v>0</v>
      </c>
      <c r="D87" s="189">
        <v>4223775</v>
      </c>
      <c r="E87" s="199">
        <v>4223775</v>
      </c>
      <c r="F87" s="188">
        <v>0</v>
      </c>
      <c r="G87" s="188">
        <v>4.117E-3</v>
      </c>
      <c r="H87" s="188">
        <v>4.117E-3</v>
      </c>
      <c r="I87" s="239"/>
    </row>
    <row r="88" spans="1:21" x14ac:dyDescent="0.35">
      <c r="A88" s="244">
        <v>27</v>
      </c>
      <c r="B88" s="186" t="str">
        <f>'Employer Allocations'!A75</f>
        <v>Clinton County Schools</v>
      </c>
      <c r="C88" s="189">
        <v>0</v>
      </c>
      <c r="D88" s="189">
        <v>2190360</v>
      </c>
      <c r="E88" s="199">
        <v>2190360</v>
      </c>
      <c r="F88" s="188">
        <v>0</v>
      </c>
      <c r="G88" s="188">
        <v>2.1350000000000002E-3</v>
      </c>
      <c r="H88" s="188">
        <v>2.1350000000000002E-3</v>
      </c>
      <c r="I88" s="239"/>
    </row>
    <row r="89" spans="1:21" x14ac:dyDescent="0.35">
      <c r="A89" s="244">
        <v>28</v>
      </c>
      <c r="B89" s="186" t="str">
        <f>'Employer Allocations'!A76</f>
        <v>Crittenden County Schools</v>
      </c>
      <c r="C89" s="189">
        <v>0</v>
      </c>
      <c r="D89" s="189">
        <v>1680867</v>
      </c>
      <c r="E89" s="199">
        <v>1680867</v>
      </c>
      <c r="F89" s="188">
        <v>0</v>
      </c>
      <c r="G89" s="188">
        <v>1.6379999999999999E-3</v>
      </c>
      <c r="H89" s="188">
        <v>1.6379999999999999E-3</v>
      </c>
      <c r="I89" s="239"/>
    </row>
    <row r="90" spans="1:21" x14ac:dyDescent="0.35">
      <c r="A90" s="244">
        <v>29</v>
      </c>
      <c r="B90" s="186" t="str">
        <f>'Employer Allocations'!A77</f>
        <v>Cumberland County Schools</v>
      </c>
      <c r="C90" s="189">
        <v>0</v>
      </c>
      <c r="D90" s="189">
        <v>1309731</v>
      </c>
      <c r="E90" s="199">
        <v>1309731</v>
      </c>
      <c r="F90" s="188">
        <v>0</v>
      </c>
      <c r="G90" s="188">
        <v>1.2769999999999999E-3</v>
      </c>
      <c r="H90" s="188">
        <v>1.2769999999999999E-3</v>
      </c>
      <c r="I90" s="239"/>
    </row>
    <row r="91" spans="1:21" hidden="1" x14ac:dyDescent="0.35">
      <c r="A91" s="244"/>
      <c r="B91" s="186"/>
      <c r="C91" s="189"/>
      <c r="D91" s="189"/>
      <c r="E91" s="199"/>
      <c r="F91" s="188"/>
      <c r="G91" s="188"/>
      <c r="H91" s="188"/>
      <c r="I91" s="239"/>
    </row>
    <row r="92" spans="1:21" hidden="1" x14ac:dyDescent="0.35">
      <c r="A92" s="244"/>
      <c r="B92" s="186"/>
      <c r="C92" s="189"/>
      <c r="D92" s="189"/>
      <c r="E92" s="199"/>
      <c r="F92" s="188"/>
      <c r="G92" s="188"/>
      <c r="H92" s="188"/>
      <c r="I92" s="239"/>
    </row>
    <row r="93" spans="1:21" ht="15" hidden="1" x14ac:dyDescent="0.6">
      <c r="A93" s="232"/>
      <c r="B93" s="231" t="s">
        <v>9</v>
      </c>
      <c r="C93" s="242" t="s">
        <v>80</v>
      </c>
      <c r="D93" s="243"/>
      <c r="E93" s="243"/>
      <c r="F93" s="242" t="s">
        <v>384</v>
      </c>
      <c r="G93" s="242"/>
      <c r="H93" s="242"/>
      <c r="I93" s="237"/>
    </row>
    <row r="94" spans="1:21" hidden="1" x14ac:dyDescent="0.35">
      <c r="A94" s="232" t="s">
        <v>379</v>
      </c>
      <c r="B94" s="231" t="s">
        <v>383</v>
      </c>
      <c r="C94" s="232" t="s">
        <v>314</v>
      </c>
      <c r="D94" s="232" t="s">
        <v>374</v>
      </c>
      <c r="E94" s="232" t="s">
        <v>64</v>
      </c>
      <c r="F94" s="232" t="s">
        <v>314</v>
      </c>
      <c r="G94" s="232" t="s">
        <v>374</v>
      </c>
      <c r="H94" s="232" t="s">
        <v>64</v>
      </c>
      <c r="I94" s="237"/>
    </row>
    <row r="95" spans="1:21" ht="15" hidden="1" x14ac:dyDescent="0.6">
      <c r="A95" s="245"/>
      <c r="B95" s="197"/>
      <c r="C95" s="184"/>
      <c r="D95" s="184"/>
      <c r="E95" s="184"/>
      <c r="F95" s="185"/>
      <c r="G95" s="185"/>
      <c r="H95" s="185"/>
      <c r="I95" s="237"/>
    </row>
    <row r="96" spans="1:21" x14ac:dyDescent="0.35">
      <c r="A96" s="244">
        <v>30</v>
      </c>
      <c r="B96" s="186" t="str">
        <f>'Employer Allocations'!A78</f>
        <v>Daviess County Schools</v>
      </c>
      <c r="C96" s="189">
        <v>0</v>
      </c>
      <c r="D96" s="189">
        <v>16371096</v>
      </c>
      <c r="E96" s="199">
        <v>16371096</v>
      </c>
      <c r="F96" s="188">
        <v>0</v>
      </c>
      <c r="G96" s="188">
        <v>1.5958E-2</v>
      </c>
      <c r="H96" s="188">
        <v>1.5958E-2</v>
      </c>
      <c r="I96" s="239"/>
    </row>
    <row r="97" spans="1:9" x14ac:dyDescent="0.35">
      <c r="A97" s="244">
        <v>31</v>
      </c>
      <c r="B97" s="186" t="str">
        <f>'Employer Allocations'!A79</f>
        <v>Edmonson County Schools</v>
      </c>
      <c r="C97" s="189">
        <v>0</v>
      </c>
      <c r="D97" s="189">
        <v>2384108</v>
      </c>
      <c r="E97" s="199">
        <v>2384108</v>
      </c>
      <c r="F97" s="188">
        <v>0</v>
      </c>
      <c r="G97" s="188">
        <v>2.3240000000000001E-3</v>
      </c>
      <c r="H97" s="188">
        <v>2.3240000000000001E-3</v>
      </c>
      <c r="I97" s="239"/>
    </row>
    <row r="98" spans="1:9" x14ac:dyDescent="0.35">
      <c r="A98" s="244">
        <v>32</v>
      </c>
      <c r="B98" s="186" t="str">
        <f>'Employer Allocations'!A80</f>
        <v>Elliott County Schools</v>
      </c>
      <c r="C98" s="189">
        <v>0</v>
      </c>
      <c r="D98" s="189">
        <v>1401411</v>
      </c>
      <c r="E98" s="199">
        <v>1401411</v>
      </c>
      <c r="F98" s="188">
        <v>0</v>
      </c>
      <c r="G98" s="188">
        <v>1.366E-3</v>
      </c>
      <c r="H98" s="188">
        <v>1.366E-3</v>
      </c>
      <c r="I98" s="239"/>
    </row>
    <row r="99" spans="1:9" x14ac:dyDescent="0.35">
      <c r="A99" s="244">
        <v>33</v>
      </c>
      <c r="B99" s="186" t="str">
        <f>'Employer Allocations'!A81</f>
        <v>Estill County Schools</v>
      </c>
      <c r="C99" s="189">
        <v>0</v>
      </c>
      <c r="D99" s="189">
        <v>2914083</v>
      </c>
      <c r="E99" s="199">
        <v>2914083</v>
      </c>
      <c r="F99" s="188">
        <v>0</v>
      </c>
      <c r="G99" s="188">
        <v>2.8410000000000002E-3</v>
      </c>
      <c r="H99" s="188">
        <v>2.8410000000000002E-3</v>
      </c>
      <c r="I99" s="239"/>
    </row>
    <row r="100" spans="1:9" x14ac:dyDescent="0.35">
      <c r="A100" s="244">
        <v>34</v>
      </c>
      <c r="B100" s="186" t="str">
        <f>'Employer Allocations'!A82</f>
        <v>Fayette County Schools</v>
      </c>
      <c r="C100" s="189">
        <v>0</v>
      </c>
      <c r="D100" s="189">
        <v>79120515</v>
      </c>
      <c r="E100" s="199">
        <v>79120515</v>
      </c>
      <c r="F100" s="188">
        <v>0</v>
      </c>
      <c r="G100" s="188">
        <v>7.7126E-2</v>
      </c>
      <c r="H100" s="188">
        <v>7.7126E-2</v>
      </c>
      <c r="I100" s="239"/>
    </row>
    <row r="101" spans="1:9" x14ac:dyDescent="0.35">
      <c r="A101" s="244">
        <v>35</v>
      </c>
      <c r="B101" s="186" t="str">
        <f>'Employer Allocations'!A83</f>
        <v>Fleming County Schools</v>
      </c>
      <c r="C101" s="189">
        <v>0</v>
      </c>
      <c r="D101" s="189">
        <v>2780980</v>
      </c>
      <c r="E101" s="199">
        <v>2780980</v>
      </c>
      <c r="F101" s="188">
        <v>0</v>
      </c>
      <c r="G101" s="188">
        <v>2.7109999999999999E-3</v>
      </c>
      <c r="H101" s="188">
        <v>2.7109999999999999E-3</v>
      </c>
      <c r="I101" s="239"/>
    </row>
    <row r="102" spans="1:9" x14ac:dyDescent="0.35">
      <c r="A102" s="244">
        <v>36</v>
      </c>
      <c r="B102" s="186" t="str">
        <f>'Employer Allocations'!A84</f>
        <v>Floyd County Schools</v>
      </c>
      <c r="C102" s="189">
        <v>0</v>
      </c>
      <c r="D102" s="189">
        <v>6897071</v>
      </c>
      <c r="E102" s="199">
        <v>6897071</v>
      </c>
      <c r="F102" s="188">
        <v>0</v>
      </c>
      <c r="G102" s="188">
        <v>6.7229999999999998E-3</v>
      </c>
      <c r="H102" s="188">
        <v>6.7229999999999998E-3</v>
      </c>
      <c r="I102" s="239"/>
    </row>
    <row r="103" spans="1:9" x14ac:dyDescent="0.35">
      <c r="A103" s="244">
        <v>37</v>
      </c>
      <c r="B103" s="186" t="str">
        <f>'Employer Allocations'!A85</f>
        <v>Franklin County Schools</v>
      </c>
      <c r="C103" s="189">
        <v>0</v>
      </c>
      <c r="D103" s="189">
        <v>9267259</v>
      </c>
      <c r="E103" s="199">
        <v>9267259</v>
      </c>
      <c r="F103" s="188">
        <v>0</v>
      </c>
      <c r="G103" s="188">
        <v>9.0340000000000004E-3</v>
      </c>
      <c r="H103" s="188">
        <v>9.0340000000000004E-3</v>
      </c>
      <c r="I103" s="239"/>
    </row>
    <row r="104" spans="1:9" x14ac:dyDescent="0.35">
      <c r="A104" s="244">
        <v>38</v>
      </c>
      <c r="B104" s="186" t="str">
        <f>'Employer Allocations'!A86</f>
        <v>Fulton County Schools</v>
      </c>
      <c r="C104" s="189">
        <v>0</v>
      </c>
      <c r="D104" s="189">
        <v>907449</v>
      </c>
      <c r="E104" s="199">
        <v>907449</v>
      </c>
      <c r="F104" s="188">
        <v>0</v>
      </c>
      <c r="G104" s="188">
        <v>8.8500000000000004E-4</v>
      </c>
      <c r="H104" s="188">
        <v>8.8500000000000004E-4</v>
      </c>
      <c r="I104" s="239"/>
    </row>
    <row r="105" spans="1:9" x14ac:dyDescent="0.35">
      <c r="A105" s="244">
        <v>39</v>
      </c>
      <c r="B105" s="186" t="str">
        <f>'Employer Allocations'!A87</f>
        <v>Gallatin County Schools</v>
      </c>
      <c r="C105" s="189">
        <v>0</v>
      </c>
      <c r="D105" s="189">
        <v>2228346</v>
      </c>
      <c r="E105" s="199">
        <v>2228346</v>
      </c>
      <c r="F105" s="188">
        <v>0</v>
      </c>
      <c r="G105" s="188">
        <v>2.1719999999999999E-3</v>
      </c>
      <c r="H105" s="188">
        <v>2.1719999999999999E-3</v>
      </c>
      <c r="I105" s="239"/>
    </row>
    <row r="106" spans="1:9" x14ac:dyDescent="0.35">
      <c r="A106" s="244">
        <v>40</v>
      </c>
      <c r="B106" s="186" t="str">
        <f>'Employer Allocations'!A88</f>
        <v>Garrard County Schools</v>
      </c>
      <c r="C106" s="189">
        <v>0</v>
      </c>
      <c r="D106" s="189">
        <v>3391316</v>
      </c>
      <c r="E106" s="199">
        <v>3391316</v>
      </c>
      <c r="F106" s="188">
        <v>0</v>
      </c>
      <c r="G106" s="188">
        <v>3.3059999999999999E-3</v>
      </c>
      <c r="H106" s="188">
        <v>3.3059999999999999E-3</v>
      </c>
      <c r="I106" s="239"/>
    </row>
    <row r="107" spans="1:9" x14ac:dyDescent="0.35">
      <c r="A107" s="244">
        <v>41</v>
      </c>
      <c r="B107" s="186" t="str">
        <f>'Employer Allocations'!A89</f>
        <v>Grant County Schools</v>
      </c>
      <c r="C107" s="189">
        <v>0</v>
      </c>
      <c r="D107" s="189">
        <v>4632653</v>
      </c>
      <c r="E107" s="199">
        <v>4632653</v>
      </c>
      <c r="F107" s="188">
        <v>0</v>
      </c>
      <c r="G107" s="188">
        <v>4.516E-3</v>
      </c>
      <c r="H107" s="188">
        <v>4.516E-3</v>
      </c>
      <c r="I107" s="239"/>
    </row>
    <row r="108" spans="1:9" x14ac:dyDescent="0.35">
      <c r="A108" s="244">
        <v>42</v>
      </c>
      <c r="B108" s="186" t="str">
        <f>'Employer Allocations'!A90</f>
        <v>Graves County Schools</v>
      </c>
      <c r="C108" s="189">
        <v>0</v>
      </c>
      <c r="D108" s="189">
        <v>5326893</v>
      </c>
      <c r="E108" s="199">
        <v>5326893</v>
      </c>
      <c r="F108" s="188">
        <v>0</v>
      </c>
      <c r="G108" s="188">
        <v>5.1929999999999997E-3</v>
      </c>
      <c r="H108" s="188">
        <v>5.1929999999999997E-3</v>
      </c>
      <c r="I108" s="239"/>
    </row>
    <row r="109" spans="1:9" x14ac:dyDescent="0.35">
      <c r="A109" s="244">
        <v>43</v>
      </c>
      <c r="B109" s="186" t="str">
        <f>'Employer Allocations'!A91</f>
        <v>Grayson County Schools</v>
      </c>
      <c r="C109" s="189">
        <v>0</v>
      </c>
      <c r="D109" s="189">
        <v>5142668</v>
      </c>
      <c r="E109" s="199">
        <v>5142668</v>
      </c>
      <c r="F109" s="188">
        <v>0</v>
      </c>
      <c r="G109" s="188">
        <v>5.0130000000000001E-3</v>
      </c>
      <c r="H109" s="188">
        <v>5.0130000000000001E-3</v>
      </c>
      <c r="I109" s="239"/>
    </row>
    <row r="110" spans="1:9" x14ac:dyDescent="0.35">
      <c r="A110" s="244">
        <v>44</v>
      </c>
      <c r="B110" s="186" t="str">
        <f>'Employer Allocations'!A92</f>
        <v>Green County Schools</v>
      </c>
      <c r="C110" s="189">
        <v>0</v>
      </c>
      <c r="D110" s="189">
        <v>2203986</v>
      </c>
      <c r="E110" s="199">
        <v>2203986</v>
      </c>
      <c r="F110" s="188">
        <v>0</v>
      </c>
      <c r="G110" s="188">
        <v>2.1480000000000002E-3</v>
      </c>
      <c r="H110" s="188">
        <v>2.1480000000000002E-3</v>
      </c>
      <c r="I110" s="239"/>
    </row>
    <row r="111" spans="1:9" x14ac:dyDescent="0.35">
      <c r="A111" s="244">
        <v>45</v>
      </c>
      <c r="B111" s="186" t="str">
        <f>'Employer Allocations'!A93</f>
        <v>Greenup County Schools</v>
      </c>
      <c r="C111" s="189">
        <v>0</v>
      </c>
      <c r="D111" s="189">
        <v>3680634</v>
      </c>
      <c r="E111" s="199">
        <v>3680634</v>
      </c>
      <c r="F111" s="188">
        <v>0</v>
      </c>
      <c r="G111" s="188">
        <v>3.588E-3</v>
      </c>
      <c r="H111" s="188">
        <v>3.588E-3</v>
      </c>
      <c r="I111" s="239"/>
    </row>
    <row r="112" spans="1:9" x14ac:dyDescent="0.35">
      <c r="A112" s="244">
        <v>46</v>
      </c>
      <c r="B112" s="186" t="str">
        <f>'Employer Allocations'!A94</f>
        <v>Hancock County Schools</v>
      </c>
      <c r="C112" s="189">
        <v>0</v>
      </c>
      <c r="D112" s="189">
        <v>2409201</v>
      </c>
      <c r="E112" s="199">
        <v>2409201</v>
      </c>
      <c r="F112" s="188">
        <v>0</v>
      </c>
      <c r="G112" s="188">
        <v>2.3479999999999998E-3</v>
      </c>
      <c r="H112" s="188">
        <v>2.3479999999999998E-3</v>
      </c>
      <c r="I112" s="239"/>
    </row>
    <row r="113" spans="1:9" x14ac:dyDescent="0.35">
      <c r="A113" s="244">
        <v>47</v>
      </c>
      <c r="B113" s="186" t="str">
        <f>'Employer Allocations'!A95</f>
        <v>Hardin County Schools</v>
      </c>
      <c r="C113" s="189">
        <v>0</v>
      </c>
      <c r="D113" s="189">
        <v>20558995</v>
      </c>
      <c r="E113" s="199">
        <v>20558995</v>
      </c>
      <c r="F113" s="188">
        <v>0</v>
      </c>
      <c r="G113" s="188">
        <v>2.0041E-2</v>
      </c>
      <c r="H113" s="188">
        <v>2.0041E-2</v>
      </c>
      <c r="I113" s="239"/>
    </row>
    <row r="114" spans="1:9" x14ac:dyDescent="0.35">
      <c r="A114" s="244">
        <v>48</v>
      </c>
      <c r="B114" s="186" t="str">
        <f>'Employer Allocations'!A96</f>
        <v>Harlan County Schools</v>
      </c>
      <c r="C114" s="189">
        <v>0</v>
      </c>
      <c r="D114" s="189">
        <v>4335841</v>
      </c>
      <c r="E114" s="199">
        <v>4335841</v>
      </c>
      <c r="F114" s="188">
        <v>0</v>
      </c>
      <c r="G114" s="188">
        <v>4.2269999999999999E-3</v>
      </c>
      <c r="H114" s="188">
        <v>4.2269999999999999E-3</v>
      </c>
      <c r="I114" s="239"/>
    </row>
    <row r="115" spans="1:9" x14ac:dyDescent="0.35">
      <c r="A115" s="244">
        <v>49</v>
      </c>
      <c r="B115" s="186" t="str">
        <f>'Employer Allocations'!A97</f>
        <v>Harrison County Schools</v>
      </c>
      <c r="C115" s="189">
        <v>0</v>
      </c>
      <c r="D115" s="189">
        <v>3624199</v>
      </c>
      <c r="E115" s="199">
        <v>3624199</v>
      </c>
      <c r="F115" s="188">
        <v>0</v>
      </c>
      <c r="G115" s="188">
        <v>3.5330000000000001E-3</v>
      </c>
      <c r="H115" s="188">
        <v>3.5330000000000001E-3</v>
      </c>
      <c r="I115" s="239"/>
    </row>
    <row r="116" spans="1:9" x14ac:dyDescent="0.35">
      <c r="A116" s="244">
        <v>50</v>
      </c>
      <c r="B116" s="186" t="str">
        <f>'Employer Allocations'!A98</f>
        <v>Hart County Schools</v>
      </c>
      <c r="C116" s="189">
        <v>0</v>
      </c>
      <c r="D116" s="189">
        <v>3121567</v>
      </c>
      <c r="E116" s="199">
        <v>3121567</v>
      </c>
      <c r="F116" s="188">
        <v>0</v>
      </c>
      <c r="G116" s="188">
        <v>3.0430000000000001E-3</v>
      </c>
      <c r="H116" s="188">
        <v>3.0430000000000001E-3</v>
      </c>
      <c r="I116" s="239"/>
    </row>
    <row r="117" spans="1:9" x14ac:dyDescent="0.35">
      <c r="A117" s="244">
        <v>51</v>
      </c>
      <c r="B117" s="186" t="str">
        <f>'Employer Allocations'!A99</f>
        <v>Henderson County Schools</v>
      </c>
      <c r="C117" s="189">
        <v>0</v>
      </c>
      <c r="D117" s="189">
        <v>10020844</v>
      </c>
      <c r="E117" s="199">
        <v>10020844</v>
      </c>
      <c r="F117" s="188">
        <v>0</v>
      </c>
      <c r="G117" s="188">
        <v>9.7680000000000006E-3</v>
      </c>
      <c r="H117" s="188">
        <v>9.7680000000000006E-3</v>
      </c>
      <c r="I117" s="239"/>
    </row>
    <row r="118" spans="1:9" x14ac:dyDescent="0.35">
      <c r="A118" s="244">
        <v>52</v>
      </c>
      <c r="B118" s="186" t="str">
        <f>'Employer Allocations'!A100</f>
        <v>Henry County Schools</v>
      </c>
      <c r="C118" s="189">
        <v>0</v>
      </c>
      <c r="D118" s="189">
        <v>2830352</v>
      </c>
      <c r="E118" s="199">
        <v>2830352</v>
      </c>
      <c r="F118" s="188">
        <v>0</v>
      </c>
      <c r="G118" s="188">
        <v>2.7590000000000002E-3</v>
      </c>
      <c r="H118" s="188">
        <v>2.7590000000000002E-3</v>
      </c>
      <c r="I118" s="239"/>
    </row>
    <row r="119" spans="1:9" x14ac:dyDescent="0.35">
      <c r="A119" s="244">
        <v>53</v>
      </c>
      <c r="B119" s="186" t="str">
        <f>'Employer Allocations'!A101</f>
        <v>Hickman County Schools</v>
      </c>
      <c r="C119" s="189">
        <v>0</v>
      </c>
      <c r="D119" s="189">
        <v>1160880</v>
      </c>
      <c r="E119" s="199">
        <v>1160880</v>
      </c>
      <c r="F119" s="188">
        <v>0</v>
      </c>
      <c r="G119" s="188">
        <v>1.132E-3</v>
      </c>
      <c r="H119" s="188">
        <v>1.132E-3</v>
      </c>
      <c r="I119" s="239"/>
    </row>
    <row r="120" spans="1:9" x14ac:dyDescent="0.35">
      <c r="A120" s="244">
        <v>54</v>
      </c>
      <c r="B120" s="186" t="str">
        <f>'Employer Allocations'!A102</f>
        <v>Hopkins County Schools</v>
      </c>
      <c r="C120" s="189">
        <v>0</v>
      </c>
      <c r="D120" s="189">
        <v>8562293</v>
      </c>
      <c r="E120" s="199">
        <v>8562293</v>
      </c>
      <c r="F120" s="188">
        <v>0</v>
      </c>
      <c r="G120" s="188">
        <v>8.3459999999999993E-3</v>
      </c>
      <c r="H120" s="188">
        <v>8.3459999999999993E-3</v>
      </c>
      <c r="I120" s="239"/>
    </row>
    <row r="121" spans="1:9" x14ac:dyDescent="0.35">
      <c r="A121" s="244">
        <v>55</v>
      </c>
      <c r="B121" s="186" t="str">
        <f>'Employer Allocations'!A103</f>
        <v>Jackson County Schools</v>
      </c>
      <c r="C121" s="189">
        <v>0</v>
      </c>
      <c r="D121" s="189">
        <v>2961280</v>
      </c>
      <c r="E121" s="199">
        <v>2961280</v>
      </c>
      <c r="F121" s="188">
        <v>0</v>
      </c>
      <c r="G121" s="188">
        <v>2.8869999999999998E-3</v>
      </c>
      <c r="H121" s="188">
        <v>2.8869999999999998E-3</v>
      </c>
      <c r="I121" s="239"/>
    </row>
    <row r="122" spans="1:9" x14ac:dyDescent="0.35">
      <c r="A122" s="244">
        <v>56</v>
      </c>
      <c r="B122" s="186" t="str">
        <f>'Employer Allocations'!A104</f>
        <v>Jefferson County Schools</v>
      </c>
      <c r="C122" s="189">
        <v>0</v>
      </c>
      <c r="D122" s="189">
        <v>201244686</v>
      </c>
      <c r="E122" s="199">
        <v>201244686</v>
      </c>
      <c r="F122" s="188">
        <v>0</v>
      </c>
      <c r="G122" s="188">
        <v>0.19616700000000001</v>
      </c>
      <c r="H122" s="188">
        <v>0.19616700000000001</v>
      </c>
      <c r="I122" s="239"/>
    </row>
    <row r="123" spans="1:9" x14ac:dyDescent="0.35">
      <c r="A123" s="244">
        <v>57</v>
      </c>
      <c r="B123" s="186" t="str">
        <f>'Employer Allocations'!A105</f>
        <v>Jessamine County Schools</v>
      </c>
      <c r="C123" s="189">
        <v>0</v>
      </c>
      <c r="D123" s="189">
        <v>11874490</v>
      </c>
      <c r="E123" s="199">
        <v>11874490</v>
      </c>
      <c r="F123" s="188">
        <v>0</v>
      </c>
      <c r="G123" s="188">
        <v>1.1575E-2</v>
      </c>
      <c r="H123" s="188">
        <v>1.1575E-2</v>
      </c>
      <c r="I123" s="239"/>
    </row>
    <row r="124" spans="1:9" x14ac:dyDescent="0.35">
      <c r="A124" s="244">
        <v>58</v>
      </c>
      <c r="B124" s="186" t="str">
        <f>'Employer Allocations'!A106</f>
        <v>Johnson County Schools</v>
      </c>
      <c r="C124" s="189">
        <v>0</v>
      </c>
      <c r="D124" s="189">
        <v>4896170</v>
      </c>
      <c r="E124" s="199">
        <v>4896170</v>
      </c>
      <c r="F124" s="188">
        <v>0</v>
      </c>
      <c r="G124" s="188">
        <v>4.7730000000000003E-3</v>
      </c>
      <c r="H124" s="188">
        <v>4.7730000000000003E-3</v>
      </c>
      <c r="I124" s="239"/>
    </row>
    <row r="125" spans="1:9" hidden="1" x14ac:dyDescent="0.35">
      <c r="A125" s="345"/>
      <c r="B125" s="186"/>
      <c r="C125" s="189"/>
      <c r="D125" s="189"/>
      <c r="E125" s="199"/>
      <c r="F125" s="188"/>
      <c r="G125" s="188"/>
      <c r="H125" s="188"/>
      <c r="I125" s="239"/>
    </row>
    <row r="126" spans="1:9" hidden="1" x14ac:dyDescent="0.35">
      <c r="A126" s="244"/>
      <c r="B126" s="186"/>
      <c r="C126" s="189"/>
      <c r="D126" s="189"/>
      <c r="E126" s="199"/>
      <c r="F126" s="188"/>
      <c r="G126" s="188"/>
      <c r="H126" s="188"/>
      <c r="I126" s="239"/>
    </row>
    <row r="127" spans="1:9" ht="15" hidden="1" x14ac:dyDescent="0.6">
      <c r="A127" s="232"/>
      <c r="B127" s="231" t="s">
        <v>9</v>
      </c>
      <c r="C127" s="242" t="s">
        <v>80</v>
      </c>
      <c r="D127" s="243"/>
      <c r="E127" s="243"/>
      <c r="F127" s="242" t="s">
        <v>384</v>
      </c>
      <c r="G127" s="242"/>
      <c r="H127" s="242"/>
      <c r="I127" s="237"/>
    </row>
    <row r="128" spans="1:9" hidden="1" x14ac:dyDescent="0.35">
      <c r="A128" s="232" t="s">
        <v>379</v>
      </c>
      <c r="B128" s="231" t="s">
        <v>383</v>
      </c>
      <c r="C128" s="232" t="s">
        <v>314</v>
      </c>
      <c r="D128" s="232" t="s">
        <v>374</v>
      </c>
      <c r="E128" s="232" t="s">
        <v>64</v>
      </c>
      <c r="F128" s="232" t="s">
        <v>314</v>
      </c>
      <c r="G128" s="232" t="s">
        <v>374</v>
      </c>
      <c r="H128" s="232" t="s">
        <v>64</v>
      </c>
      <c r="I128" s="237"/>
    </row>
    <row r="129" spans="1:9" ht="15" hidden="1" x14ac:dyDescent="0.6">
      <c r="A129" s="245"/>
      <c r="B129" s="197"/>
      <c r="C129" s="184"/>
      <c r="D129" s="184"/>
      <c r="E129" s="184"/>
      <c r="F129" s="185"/>
      <c r="G129" s="185"/>
      <c r="H129" s="185"/>
      <c r="I129" s="237"/>
    </row>
    <row r="130" spans="1:9" x14ac:dyDescent="0.35">
      <c r="A130" s="244">
        <v>59</v>
      </c>
      <c r="B130" s="186" t="str">
        <f>'Employer Allocations'!A107</f>
        <v>Kenton County Schools</v>
      </c>
      <c r="C130" s="189">
        <v>0</v>
      </c>
      <c r="D130" s="189">
        <v>19915692</v>
      </c>
      <c r="E130" s="199">
        <v>19915692</v>
      </c>
      <c r="F130" s="188">
        <v>0</v>
      </c>
      <c r="G130" s="188">
        <v>1.9414000000000001E-2</v>
      </c>
      <c r="H130" s="188">
        <v>1.9414000000000001E-2</v>
      </c>
      <c r="I130" s="239"/>
    </row>
    <row r="131" spans="1:9" x14ac:dyDescent="0.35">
      <c r="A131" s="244">
        <v>60</v>
      </c>
      <c r="B131" s="186" t="s">
        <v>730</v>
      </c>
      <c r="C131" s="189">
        <v>0</v>
      </c>
      <c r="D131" s="189">
        <v>2959208</v>
      </c>
      <c r="E131" s="199">
        <v>2959208</v>
      </c>
      <c r="F131" s="188">
        <v>0</v>
      </c>
      <c r="G131" s="188">
        <v>2.885E-3</v>
      </c>
      <c r="H131" s="188">
        <v>2.885E-3</v>
      </c>
      <c r="I131" s="239"/>
    </row>
    <row r="132" spans="1:9" x14ac:dyDescent="0.35">
      <c r="A132" s="244">
        <v>61</v>
      </c>
      <c r="B132" s="186" t="str">
        <f>'Employer Allocations'!A109</f>
        <v>Knox County Schools</v>
      </c>
      <c r="C132" s="189">
        <v>0</v>
      </c>
      <c r="D132" s="189">
        <v>5782070</v>
      </c>
      <c r="E132" s="199">
        <v>5782070</v>
      </c>
      <c r="F132" s="188">
        <v>0</v>
      </c>
      <c r="G132" s="188">
        <v>5.6360000000000004E-3</v>
      </c>
      <c r="H132" s="188">
        <v>5.6360000000000004E-3</v>
      </c>
      <c r="I132" s="239"/>
    </row>
    <row r="133" spans="1:9" x14ac:dyDescent="0.35">
      <c r="A133" s="244">
        <v>62</v>
      </c>
      <c r="B133" s="186" t="str">
        <f>'Employer Allocations'!A110</f>
        <v>Larue County Schools</v>
      </c>
      <c r="C133" s="189">
        <v>0</v>
      </c>
      <c r="D133" s="189">
        <v>3376030</v>
      </c>
      <c r="E133" s="199">
        <v>3376030</v>
      </c>
      <c r="F133" s="188">
        <v>0</v>
      </c>
      <c r="G133" s="188">
        <v>3.2910000000000001E-3</v>
      </c>
      <c r="H133" s="188">
        <v>3.2910000000000001E-3</v>
      </c>
      <c r="I133" s="239"/>
    </row>
    <row r="134" spans="1:9" x14ac:dyDescent="0.35">
      <c r="A134" s="244">
        <v>63</v>
      </c>
      <c r="B134" s="186" t="str">
        <f>'Employer Allocations'!A111</f>
        <v>Laurel County Schools</v>
      </c>
      <c r="C134" s="189">
        <v>0</v>
      </c>
      <c r="D134" s="189">
        <v>11203571</v>
      </c>
      <c r="E134" s="199">
        <v>11203571</v>
      </c>
      <c r="F134" s="188">
        <v>0</v>
      </c>
      <c r="G134" s="188">
        <v>1.0921E-2</v>
      </c>
      <c r="H134" s="188">
        <v>1.0921E-2</v>
      </c>
      <c r="I134" s="239"/>
    </row>
    <row r="135" spans="1:9" x14ac:dyDescent="0.35">
      <c r="A135" s="244">
        <v>64</v>
      </c>
      <c r="B135" s="186" t="str">
        <f>'Employer Allocations'!A112</f>
        <v>Lawrence County Schools</v>
      </c>
      <c r="C135" s="189">
        <v>0</v>
      </c>
      <c r="D135" s="189">
        <v>3352910</v>
      </c>
      <c r="E135" s="199">
        <v>3352910</v>
      </c>
      <c r="F135" s="188">
        <v>0</v>
      </c>
      <c r="G135" s="188">
        <v>3.2680000000000001E-3</v>
      </c>
      <c r="H135" s="188">
        <v>3.2680000000000001E-3</v>
      </c>
      <c r="I135" s="239"/>
    </row>
    <row r="136" spans="1:9" x14ac:dyDescent="0.35">
      <c r="A136" s="244">
        <v>65</v>
      </c>
      <c r="B136" s="186" t="str">
        <f>'Employer Allocations'!A113</f>
        <v>Lee County Schools</v>
      </c>
      <c r="C136" s="189">
        <v>0</v>
      </c>
      <c r="D136" s="189">
        <v>998496</v>
      </c>
      <c r="E136" s="199">
        <v>998496</v>
      </c>
      <c r="F136" s="188">
        <v>0</v>
      </c>
      <c r="G136" s="188">
        <v>9.7300000000000002E-4</v>
      </c>
      <c r="H136" s="188">
        <v>9.7300000000000002E-4</v>
      </c>
      <c r="I136" s="239"/>
    </row>
    <row r="137" spans="1:9" x14ac:dyDescent="0.35">
      <c r="A137" s="244">
        <v>66</v>
      </c>
      <c r="B137" s="186" t="str">
        <f>'Employer Allocations'!A114</f>
        <v>Leslie County Schools</v>
      </c>
      <c r="C137" s="189">
        <v>0</v>
      </c>
      <c r="D137" s="189">
        <v>2191499</v>
      </c>
      <c r="E137" s="199">
        <v>2191499</v>
      </c>
      <c r="F137" s="188">
        <v>0</v>
      </c>
      <c r="G137" s="188">
        <v>2.1359999999999999E-3</v>
      </c>
      <c r="H137" s="188">
        <v>2.1359999999999999E-3</v>
      </c>
      <c r="I137" s="239"/>
    </row>
    <row r="138" spans="1:9" x14ac:dyDescent="0.35">
      <c r="A138" s="244">
        <v>67</v>
      </c>
      <c r="B138" s="186" t="str">
        <f>'Employer Allocations'!A115</f>
        <v>Letcher County Schools</v>
      </c>
      <c r="C138" s="189">
        <v>0</v>
      </c>
      <c r="D138" s="189">
        <v>4115428</v>
      </c>
      <c r="E138" s="199">
        <v>4115428</v>
      </c>
      <c r="F138" s="188">
        <v>0</v>
      </c>
      <c r="G138" s="188">
        <v>4.0119999999999999E-3</v>
      </c>
      <c r="H138" s="188">
        <v>4.0119999999999999E-3</v>
      </c>
      <c r="I138" s="239"/>
    </row>
    <row r="139" spans="1:9" x14ac:dyDescent="0.35">
      <c r="A139" s="244">
        <v>68</v>
      </c>
      <c r="B139" s="186" t="str">
        <f>'Employer Allocations'!A116</f>
        <v>Lewis County Schools</v>
      </c>
      <c r="C139" s="189">
        <v>0</v>
      </c>
      <c r="D139" s="189">
        <v>2648432</v>
      </c>
      <c r="E139" s="199">
        <v>2648432</v>
      </c>
      <c r="F139" s="188">
        <v>0</v>
      </c>
      <c r="G139" s="188">
        <v>2.5820000000000001E-3</v>
      </c>
      <c r="H139" s="188">
        <v>2.5820000000000001E-3</v>
      </c>
      <c r="I139" s="239"/>
    </row>
    <row r="140" spans="1:9" x14ac:dyDescent="0.35">
      <c r="A140" s="244">
        <v>69</v>
      </c>
      <c r="B140" s="186" t="str">
        <f>'Employer Allocations'!A117</f>
        <v>Lincoln County Schools</v>
      </c>
      <c r="C140" s="189">
        <v>0</v>
      </c>
      <c r="D140" s="189">
        <v>4404132</v>
      </c>
      <c r="E140" s="199">
        <v>4404132</v>
      </c>
      <c r="F140" s="188">
        <v>0</v>
      </c>
      <c r="G140" s="188">
        <v>4.2929999999999999E-3</v>
      </c>
      <c r="H140" s="188">
        <v>4.2929999999999999E-3</v>
      </c>
      <c r="I140" s="239"/>
    </row>
    <row r="141" spans="1:9" x14ac:dyDescent="0.35">
      <c r="A141" s="244">
        <v>70</v>
      </c>
      <c r="B141" s="186" t="str">
        <f>'Employer Allocations'!A118</f>
        <v>Livingston County Schools</v>
      </c>
      <c r="C141" s="189">
        <v>0</v>
      </c>
      <c r="D141" s="189">
        <v>1705378</v>
      </c>
      <c r="E141" s="199">
        <v>1705378</v>
      </c>
      <c r="F141" s="188">
        <v>0</v>
      </c>
      <c r="G141" s="188">
        <v>1.6620000000000001E-3</v>
      </c>
      <c r="H141" s="188">
        <v>1.6620000000000001E-3</v>
      </c>
      <c r="I141" s="239"/>
    </row>
    <row r="142" spans="1:9" x14ac:dyDescent="0.35">
      <c r="A142" s="244">
        <v>71</v>
      </c>
      <c r="B142" s="186" t="str">
        <f>'Employer Allocations'!A119</f>
        <v>Logan County Schools</v>
      </c>
      <c r="C142" s="189">
        <v>0</v>
      </c>
      <c r="D142" s="189">
        <v>4577912</v>
      </c>
      <c r="E142" s="199">
        <v>4577912</v>
      </c>
      <c r="F142" s="188">
        <v>0</v>
      </c>
      <c r="G142" s="188">
        <v>4.463E-3</v>
      </c>
      <c r="H142" s="188">
        <v>4.463E-3</v>
      </c>
      <c r="I142" s="239"/>
    </row>
    <row r="143" spans="1:9" x14ac:dyDescent="0.35">
      <c r="A143" s="244">
        <v>72</v>
      </c>
      <c r="B143" s="186" t="str">
        <f>'Employer Allocations'!A120</f>
        <v>Lyon County Schools</v>
      </c>
      <c r="C143" s="189">
        <v>0</v>
      </c>
      <c r="D143" s="189">
        <v>1154463</v>
      </c>
      <c r="E143" s="199">
        <v>1154463</v>
      </c>
      <c r="F143" s="188">
        <v>0</v>
      </c>
      <c r="G143" s="188">
        <v>1.1249999999999999E-3</v>
      </c>
      <c r="H143" s="188">
        <v>1.1249999999999999E-3</v>
      </c>
      <c r="I143" s="239"/>
    </row>
    <row r="144" spans="1:9" x14ac:dyDescent="0.35">
      <c r="A144" s="244">
        <v>73</v>
      </c>
      <c r="B144" s="186" t="str">
        <f>'Employer Allocations'!A121</f>
        <v>Madison County Schools</v>
      </c>
      <c r="C144" s="189">
        <v>0</v>
      </c>
      <c r="D144" s="189">
        <v>14229819</v>
      </c>
      <c r="E144" s="199">
        <v>14229819</v>
      </c>
      <c r="F144" s="188">
        <v>0</v>
      </c>
      <c r="G144" s="188">
        <v>1.3871E-2</v>
      </c>
      <c r="H144" s="188">
        <v>1.3871E-2</v>
      </c>
      <c r="I144" s="239"/>
    </row>
    <row r="145" spans="1:9" x14ac:dyDescent="0.35">
      <c r="A145" s="244">
        <v>74</v>
      </c>
      <c r="B145" s="186" t="str">
        <f>'Employer Allocations'!A122</f>
        <v>Magoffin County Schools</v>
      </c>
      <c r="C145" s="189">
        <v>0</v>
      </c>
      <c r="D145" s="189">
        <v>2437979</v>
      </c>
      <c r="E145" s="199">
        <v>2437979</v>
      </c>
      <c r="F145" s="188">
        <v>0</v>
      </c>
      <c r="G145" s="188">
        <v>2.3770000000000002E-3</v>
      </c>
      <c r="H145" s="188">
        <v>2.3770000000000002E-3</v>
      </c>
      <c r="I145" s="239"/>
    </row>
    <row r="146" spans="1:9" x14ac:dyDescent="0.35">
      <c r="A146" s="244">
        <v>75</v>
      </c>
      <c r="B146" s="186" t="str">
        <f>'Employer Allocations'!A123</f>
        <v>Marion County Schools</v>
      </c>
      <c r="C146" s="189">
        <v>0</v>
      </c>
      <c r="D146" s="189">
        <v>4750243</v>
      </c>
      <c r="E146" s="199">
        <v>4750243</v>
      </c>
      <c r="F146" s="188">
        <v>0</v>
      </c>
      <c r="G146" s="188">
        <v>4.6299999999999996E-3</v>
      </c>
      <c r="H146" s="188">
        <v>4.6299999999999996E-3</v>
      </c>
      <c r="I146" s="239"/>
    </row>
    <row r="147" spans="1:9" x14ac:dyDescent="0.35">
      <c r="A147" s="244">
        <v>76</v>
      </c>
      <c r="B147" s="186" t="str">
        <f>'Employer Allocations'!A124</f>
        <v>Marshall County Schools</v>
      </c>
      <c r="C147" s="189">
        <v>0</v>
      </c>
      <c r="D147" s="189">
        <v>6456602</v>
      </c>
      <c r="E147" s="199">
        <v>6456602</v>
      </c>
      <c r="F147" s="188">
        <v>0</v>
      </c>
      <c r="G147" s="188">
        <v>6.2940000000000001E-3</v>
      </c>
      <c r="H147" s="188">
        <v>6.2940000000000001E-3</v>
      </c>
      <c r="I147" s="239"/>
    </row>
    <row r="148" spans="1:9" x14ac:dyDescent="0.35">
      <c r="A148" s="244">
        <v>77</v>
      </c>
      <c r="B148" s="186" t="str">
        <f>'Employer Allocations'!A125</f>
        <v>Martin County Schools</v>
      </c>
      <c r="C148" s="189">
        <v>0</v>
      </c>
      <c r="D148" s="189">
        <v>2133369</v>
      </c>
      <c r="E148" s="199">
        <v>2133369</v>
      </c>
      <c r="F148" s="188">
        <v>0</v>
      </c>
      <c r="G148" s="188">
        <v>2.0799999999999998E-3</v>
      </c>
      <c r="H148" s="188">
        <v>2.0799999999999998E-3</v>
      </c>
      <c r="I148" s="239"/>
    </row>
    <row r="149" spans="1:9" x14ac:dyDescent="0.35">
      <c r="A149" s="244">
        <v>78</v>
      </c>
      <c r="B149" s="186" t="str">
        <f>'Employer Allocations'!A126</f>
        <v>Mason County Schools</v>
      </c>
      <c r="C149" s="189">
        <v>0</v>
      </c>
      <c r="D149" s="189">
        <v>3793268</v>
      </c>
      <c r="E149" s="199">
        <v>3793268</v>
      </c>
      <c r="F149" s="188">
        <v>0</v>
      </c>
      <c r="G149" s="188">
        <v>3.6979999999999999E-3</v>
      </c>
      <c r="H149" s="188">
        <v>3.6979999999999999E-3</v>
      </c>
      <c r="I149" s="239"/>
    </row>
    <row r="150" spans="1:9" x14ac:dyDescent="0.35">
      <c r="A150" s="244">
        <v>79</v>
      </c>
      <c r="B150" s="186" t="str">
        <f>'Employer Allocations'!A127</f>
        <v>McCracken County Schools</v>
      </c>
      <c r="C150" s="189">
        <v>0</v>
      </c>
      <c r="D150" s="189">
        <v>9723878</v>
      </c>
      <c r="E150" s="199">
        <v>9723878</v>
      </c>
      <c r="F150" s="188">
        <v>0</v>
      </c>
      <c r="G150" s="188">
        <v>9.4789999999999996E-3</v>
      </c>
      <c r="H150" s="188">
        <v>9.4789999999999996E-3</v>
      </c>
      <c r="I150" s="239"/>
    </row>
    <row r="151" spans="1:9" x14ac:dyDescent="0.35">
      <c r="A151" s="244">
        <v>80</v>
      </c>
      <c r="B151" s="186" t="str">
        <f>'Employer Allocations'!A128</f>
        <v>McCreary County Schools</v>
      </c>
      <c r="C151" s="189">
        <v>0</v>
      </c>
      <c r="D151" s="189">
        <v>3538976</v>
      </c>
      <c r="E151" s="199">
        <v>3538976</v>
      </c>
      <c r="F151" s="188">
        <v>0</v>
      </c>
      <c r="G151" s="188">
        <v>3.4499999999999999E-3</v>
      </c>
      <c r="H151" s="188">
        <v>3.4499999999999999E-3</v>
      </c>
      <c r="I151" s="239"/>
    </row>
    <row r="152" spans="1:9" x14ac:dyDescent="0.35">
      <c r="A152" s="244">
        <v>81</v>
      </c>
      <c r="B152" s="186" t="str">
        <f>'Employer Allocations'!A129</f>
        <v>McLean County Schools</v>
      </c>
      <c r="C152" s="189">
        <v>0</v>
      </c>
      <c r="D152" s="189">
        <v>2123725</v>
      </c>
      <c r="E152" s="199">
        <v>2123725</v>
      </c>
      <c r="F152" s="188">
        <v>0</v>
      </c>
      <c r="G152" s="188">
        <v>2.0699999999999998E-3</v>
      </c>
      <c r="H152" s="188">
        <v>2.0699999999999998E-3</v>
      </c>
      <c r="I152" s="239"/>
    </row>
    <row r="153" spans="1:9" x14ac:dyDescent="0.35">
      <c r="A153" s="244">
        <v>82</v>
      </c>
      <c r="B153" s="186" t="str">
        <f>'Employer Allocations'!A130</f>
        <v>Meade County Schools</v>
      </c>
      <c r="C153" s="189">
        <v>0</v>
      </c>
      <c r="D153" s="189">
        <v>6078940</v>
      </c>
      <c r="E153" s="199">
        <v>6078940</v>
      </c>
      <c r="F153" s="188">
        <v>0</v>
      </c>
      <c r="G153" s="188">
        <v>5.9259999999999998E-3</v>
      </c>
      <c r="H153" s="188">
        <v>5.9259999999999998E-3</v>
      </c>
      <c r="I153" s="239"/>
    </row>
    <row r="154" spans="1:9" x14ac:dyDescent="0.35">
      <c r="A154" s="244">
        <v>83</v>
      </c>
      <c r="B154" s="186" t="str">
        <f>'Employer Allocations'!A131</f>
        <v>Menifee County Schools</v>
      </c>
      <c r="C154" s="189">
        <v>0</v>
      </c>
      <c r="D154" s="189">
        <v>1390827</v>
      </c>
      <c r="E154" s="199">
        <v>1390827</v>
      </c>
      <c r="F154" s="188">
        <v>0</v>
      </c>
      <c r="G154" s="188">
        <v>1.356E-3</v>
      </c>
      <c r="H154" s="188">
        <v>1.356E-3</v>
      </c>
      <c r="I154" s="239"/>
    </row>
    <row r="155" spans="1:9" x14ac:dyDescent="0.35">
      <c r="A155" s="244">
        <v>84</v>
      </c>
      <c r="B155" s="186" t="str">
        <f>'Employer Allocations'!A132</f>
        <v>Mercer County Schools</v>
      </c>
      <c r="C155" s="189">
        <v>0</v>
      </c>
      <c r="D155" s="189">
        <v>3980978</v>
      </c>
      <c r="E155" s="199">
        <v>3980978</v>
      </c>
      <c r="F155" s="188">
        <v>0</v>
      </c>
      <c r="G155" s="188">
        <v>3.8809999999999999E-3</v>
      </c>
      <c r="H155" s="188">
        <v>3.8809999999999999E-3</v>
      </c>
      <c r="I155" s="239"/>
    </row>
    <row r="156" spans="1:9" x14ac:dyDescent="0.35">
      <c r="A156" s="244">
        <v>85</v>
      </c>
      <c r="B156" s="186" t="str">
        <f>'Employer Allocations'!A133</f>
        <v>Metcalf County Schools</v>
      </c>
      <c r="C156" s="189">
        <v>0</v>
      </c>
      <c r="D156" s="189">
        <v>1701029</v>
      </c>
      <c r="E156" s="199">
        <v>1701029</v>
      </c>
      <c r="F156" s="188">
        <v>0</v>
      </c>
      <c r="G156" s="188">
        <v>1.658E-3</v>
      </c>
      <c r="H156" s="188">
        <v>1.658E-3</v>
      </c>
      <c r="I156" s="239"/>
    </row>
    <row r="157" spans="1:9" x14ac:dyDescent="0.35">
      <c r="A157" s="244">
        <v>86</v>
      </c>
      <c r="B157" s="186" t="str">
        <f>'Employer Allocations'!A134</f>
        <v>Monroe County Schools</v>
      </c>
      <c r="C157" s="189">
        <v>0</v>
      </c>
      <c r="D157" s="189">
        <v>2502428</v>
      </c>
      <c r="E157" s="199">
        <v>2502428</v>
      </c>
      <c r="F157" s="188">
        <v>0</v>
      </c>
      <c r="G157" s="188">
        <v>2.4390000000000002E-3</v>
      </c>
      <c r="H157" s="188">
        <v>2.4390000000000002E-3</v>
      </c>
      <c r="I157" s="239"/>
    </row>
    <row r="158" spans="1:9" x14ac:dyDescent="0.35">
      <c r="A158" s="244">
        <v>87</v>
      </c>
      <c r="B158" s="186" t="str">
        <f>'Employer Allocations'!A135</f>
        <v>Montgomery County Schools</v>
      </c>
      <c r="C158" s="189">
        <v>0</v>
      </c>
      <c r="D158" s="189">
        <v>5723140</v>
      </c>
      <c r="E158" s="199">
        <v>5723140</v>
      </c>
      <c r="F158" s="188">
        <v>0</v>
      </c>
      <c r="G158" s="188">
        <v>5.5789999999999998E-3</v>
      </c>
      <c r="H158" s="188">
        <v>5.5789999999999998E-3</v>
      </c>
      <c r="I158" s="239"/>
    </row>
    <row r="159" spans="1:9" hidden="1" x14ac:dyDescent="0.35">
      <c r="A159" s="244"/>
      <c r="B159" s="186"/>
      <c r="C159" s="189"/>
      <c r="D159" s="189"/>
      <c r="E159" s="199"/>
      <c r="F159" s="188"/>
      <c r="G159" s="188"/>
      <c r="H159" s="188"/>
      <c r="I159" s="239"/>
    </row>
    <row r="160" spans="1:9" hidden="1" x14ac:dyDescent="0.35">
      <c r="A160" s="244"/>
      <c r="B160" s="186"/>
      <c r="C160" s="189"/>
      <c r="D160" s="189"/>
      <c r="E160" s="199"/>
      <c r="F160" s="188"/>
      <c r="G160" s="188"/>
      <c r="H160" s="188"/>
      <c r="I160" s="239"/>
    </row>
    <row r="161" spans="1:9" ht="15" hidden="1" x14ac:dyDescent="0.6">
      <c r="A161" s="232"/>
      <c r="B161" s="231" t="s">
        <v>9</v>
      </c>
      <c r="C161" s="242" t="s">
        <v>80</v>
      </c>
      <c r="D161" s="243"/>
      <c r="E161" s="243"/>
      <c r="F161" s="242" t="s">
        <v>384</v>
      </c>
      <c r="G161" s="242"/>
      <c r="H161" s="242"/>
      <c r="I161" s="237"/>
    </row>
    <row r="162" spans="1:9" hidden="1" x14ac:dyDescent="0.35">
      <c r="A162" s="232" t="s">
        <v>379</v>
      </c>
      <c r="B162" s="231" t="s">
        <v>383</v>
      </c>
      <c r="C162" s="232" t="s">
        <v>314</v>
      </c>
      <c r="D162" s="232" t="s">
        <v>374</v>
      </c>
      <c r="E162" s="232" t="s">
        <v>64</v>
      </c>
      <c r="F162" s="232" t="s">
        <v>314</v>
      </c>
      <c r="G162" s="232" t="s">
        <v>374</v>
      </c>
      <c r="H162" s="232" t="s">
        <v>64</v>
      </c>
      <c r="I162" s="237"/>
    </row>
    <row r="163" spans="1:9" ht="15" hidden="1" x14ac:dyDescent="0.6">
      <c r="A163" s="245"/>
      <c r="B163" s="197"/>
      <c r="C163" s="184"/>
      <c r="D163" s="184"/>
      <c r="E163" s="184"/>
      <c r="F163" s="185"/>
      <c r="G163" s="185"/>
      <c r="H163" s="185"/>
      <c r="I163" s="237"/>
    </row>
    <row r="164" spans="1:9" x14ac:dyDescent="0.35">
      <c r="A164" s="244">
        <v>88</v>
      </c>
      <c r="B164" s="186" t="str">
        <f>'Employer Allocations'!A136</f>
        <v>Morgan County Schools</v>
      </c>
      <c r="C164" s="189">
        <v>0</v>
      </c>
      <c r="D164" s="189">
        <v>2432621</v>
      </c>
      <c r="E164" s="199">
        <v>2432621</v>
      </c>
      <c r="F164" s="188">
        <v>0</v>
      </c>
      <c r="G164" s="188">
        <v>2.3709999999999998E-3</v>
      </c>
      <c r="H164" s="188">
        <v>2.3709999999999998E-3</v>
      </c>
      <c r="I164" s="239"/>
    </row>
    <row r="165" spans="1:9" x14ac:dyDescent="0.35">
      <c r="A165" s="244">
        <v>89</v>
      </c>
      <c r="B165" s="186" t="str">
        <f>'Employer Allocations'!A137</f>
        <v>Muhlenberg County Schools</v>
      </c>
      <c r="C165" s="189">
        <v>0</v>
      </c>
      <c r="D165" s="189">
        <v>6299904</v>
      </c>
      <c r="E165" s="199">
        <v>6299904</v>
      </c>
      <c r="F165" s="188">
        <v>0</v>
      </c>
      <c r="G165" s="188">
        <v>6.1409999999999998E-3</v>
      </c>
      <c r="H165" s="188">
        <v>6.1409999999999998E-3</v>
      </c>
      <c r="I165" s="239"/>
    </row>
    <row r="166" spans="1:9" x14ac:dyDescent="0.35">
      <c r="A166" s="244">
        <v>90</v>
      </c>
      <c r="B166" s="186" t="str">
        <f>'Employer Allocations'!A138</f>
        <v>Nelson County Schools</v>
      </c>
      <c r="C166" s="189">
        <v>0</v>
      </c>
      <c r="D166" s="189">
        <v>6454103</v>
      </c>
      <c r="E166" s="199">
        <v>6454103</v>
      </c>
      <c r="F166" s="188">
        <v>0</v>
      </c>
      <c r="G166" s="188">
        <v>6.2909999999999997E-3</v>
      </c>
      <c r="H166" s="188">
        <v>6.2909999999999997E-3</v>
      </c>
      <c r="I166" s="239"/>
    </row>
    <row r="167" spans="1:9" x14ac:dyDescent="0.35">
      <c r="A167" s="244">
        <v>91</v>
      </c>
      <c r="B167" s="186" t="str">
        <f>'Employer Allocations'!A139</f>
        <v>Nicholas County Schools</v>
      </c>
      <c r="C167" s="189">
        <v>0</v>
      </c>
      <c r="D167" s="189">
        <v>1211468</v>
      </c>
      <c r="E167" s="199">
        <v>1211468</v>
      </c>
      <c r="F167" s="188">
        <v>0</v>
      </c>
      <c r="G167" s="188">
        <v>1.181E-3</v>
      </c>
      <c r="H167" s="188">
        <v>1.181E-3</v>
      </c>
      <c r="I167" s="239"/>
    </row>
    <row r="168" spans="1:9" x14ac:dyDescent="0.35">
      <c r="A168" s="244">
        <v>92</v>
      </c>
      <c r="B168" s="186" t="str">
        <f>'Employer Allocations'!A140</f>
        <v>Ohio County Schools</v>
      </c>
      <c r="C168" s="189">
        <v>0</v>
      </c>
      <c r="D168" s="189">
        <v>5041830</v>
      </c>
      <c r="E168" s="199">
        <v>5041830</v>
      </c>
      <c r="F168" s="188">
        <v>0</v>
      </c>
      <c r="G168" s="188">
        <v>4.9150000000000001E-3</v>
      </c>
      <c r="H168" s="188">
        <v>4.9150000000000001E-3</v>
      </c>
      <c r="I168" s="239"/>
    </row>
    <row r="169" spans="1:9" x14ac:dyDescent="0.35">
      <c r="A169" s="244">
        <v>93</v>
      </c>
      <c r="B169" s="186" t="str">
        <f>'Employer Allocations'!A141</f>
        <v>Oldham County Schools</v>
      </c>
      <c r="C169" s="189">
        <v>0</v>
      </c>
      <c r="D169" s="189">
        <v>18731003</v>
      </c>
      <c r="E169" s="199">
        <v>18731003</v>
      </c>
      <c r="F169" s="188">
        <v>0</v>
      </c>
      <c r="G169" s="188">
        <v>1.8259000000000001E-2</v>
      </c>
      <c r="H169" s="188">
        <v>1.8259000000000001E-2</v>
      </c>
      <c r="I169" s="239"/>
    </row>
    <row r="170" spans="1:9" x14ac:dyDescent="0.35">
      <c r="A170" s="244">
        <v>94</v>
      </c>
      <c r="B170" s="186" t="str">
        <f>'Employer Allocations'!A142</f>
        <v>Owen County Schools</v>
      </c>
      <c r="C170" s="189">
        <v>0</v>
      </c>
      <c r="D170" s="189">
        <v>2204418</v>
      </c>
      <c r="E170" s="199">
        <v>2204418</v>
      </c>
      <c r="F170" s="188">
        <v>0</v>
      </c>
      <c r="G170" s="188">
        <v>2.1489999999999999E-3</v>
      </c>
      <c r="H170" s="188">
        <v>2.1489999999999999E-3</v>
      </c>
      <c r="I170" s="239"/>
    </row>
    <row r="171" spans="1:9" x14ac:dyDescent="0.35">
      <c r="A171" s="244">
        <v>95</v>
      </c>
      <c r="B171" s="186" t="str">
        <f>'Employer Allocations'!A143</f>
        <v>Owsley County Schools</v>
      </c>
      <c r="C171" s="189">
        <v>0</v>
      </c>
      <c r="D171" s="189">
        <v>867518</v>
      </c>
      <c r="E171" s="199">
        <v>867518</v>
      </c>
      <c r="F171" s="188">
        <v>0</v>
      </c>
      <c r="G171" s="188">
        <v>8.4599999999999996E-4</v>
      </c>
      <c r="H171" s="188">
        <v>8.4599999999999996E-4</v>
      </c>
      <c r="I171" s="239"/>
    </row>
    <row r="172" spans="1:9" x14ac:dyDescent="0.35">
      <c r="A172" s="244">
        <v>96</v>
      </c>
      <c r="B172" s="186" t="str">
        <f>'Employer Allocations'!A144</f>
        <v>Pendleton County Schools</v>
      </c>
      <c r="C172" s="189">
        <v>0</v>
      </c>
      <c r="D172" s="189">
        <v>2759436</v>
      </c>
      <c r="E172" s="199">
        <v>2759436</v>
      </c>
      <c r="F172" s="188">
        <v>0</v>
      </c>
      <c r="G172" s="188">
        <v>2.6900000000000001E-3</v>
      </c>
      <c r="H172" s="188">
        <v>2.6900000000000001E-3</v>
      </c>
      <c r="I172" s="239"/>
    </row>
    <row r="173" spans="1:9" x14ac:dyDescent="0.35">
      <c r="A173" s="244">
        <v>97</v>
      </c>
      <c r="B173" s="186" t="str">
        <f>'Employer Allocations'!A145</f>
        <v>Perry County Schools</v>
      </c>
      <c r="C173" s="189">
        <v>0</v>
      </c>
      <c r="D173" s="189">
        <v>4767333</v>
      </c>
      <c r="E173" s="199">
        <v>4767333</v>
      </c>
      <c r="F173" s="188">
        <v>0</v>
      </c>
      <c r="G173" s="188">
        <v>4.6470000000000001E-3</v>
      </c>
      <c r="H173" s="188">
        <v>4.6470000000000001E-3</v>
      </c>
      <c r="I173" s="239"/>
    </row>
    <row r="174" spans="1:9" x14ac:dyDescent="0.35">
      <c r="A174" s="244">
        <v>98</v>
      </c>
      <c r="B174" s="186" t="str">
        <f>'Employer Allocations'!A146</f>
        <v>Pike County Schools</v>
      </c>
      <c r="C174" s="189">
        <v>0</v>
      </c>
      <c r="D174" s="189">
        <v>10525964</v>
      </c>
      <c r="E174" s="199">
        <v>10525964</v>
      </c>
      <c r="F174" s="188">
        <v>0</v>
      </c>
      <c r="G174" s="188">
        <v>1.0260999999999999E-2</v>
      </c>
      <c r="H174" s="188">
        <v>1.0260999999999999E-2</v>
      </c>
      <c r="I174" s="239"/>
    </row>
    <row r="175" spans="1:9" x14ac:dyDescent="0.35">
      <c r="A175" s="244">
        <v>99</v>
      </c>
      <c r="B175" s="186" t="str">
        <f>'Employer Allocations'!A147</f>
        <v>Powell County Schools</v>
      </c>
      <c r="C175" s="189">
        <v>0</v>
      </c>
      <c r="D175" s="189">
        <v>2785294</v>
      </c>
      <c r="E175" s="199">
        <v>2785294</v>
      </c>
      <c r="F175" s="188">
        <v>0</v>
      </c>
      <c r="G175" s="188">
        <v>2.715E-3</v>
      </c>
      <c r="H175" s="188">
        <v>2.715E-3</v>
      </c>
      <c r="I175" s="239"/>
    </row>
    <row r="176" spans="1:9" x14ac:dyDescent="0.35">
      <c r="A176" s="244">
        <v>100</v>
      </c>
      <c r="B176" s="186" t="str">
        <f>'Employer Allocations'!A148</f>
        <v>Pulaski County Schools</v>
      </c>
      <c r="C176" s="189">
        <v>0</v>
      </c>
      <c r="D176" s="189">
        <v>10110849</v>
      </c>
      <c r="E176" s="199">
        <v>10110849</v>
      </c>
      <c r="F176" s="188">
        <v>0</v>
      </c>
      <c r="G176" s="188">
        <v>9.8560000000000002E-3</v>
      </c>
      <c r="H176" s="188">
        <v>9.8560000000000002E-3</v>
      </c>
      <c r="I176" s="239"/>
    </row>
    <row r="177" spans="1:9" x14ac:dyDescent="0.35">
      <c r="A177" s="244">
        <v>101</v>
      </c>
      <c r="B177" s="186" t="str">
        <f>'Employer Allocations'!A149</f>
        <v>Robertson County Schools</v>
      </c>
      <c r="C177" s="189">
        <v>0</v>
      </c>
      <c r="D177" s="189">
        <v>521168</v>
      </c>
      <c r="E177" s="199">
        <v>521168</v>
      </c>
      <c r="F177" s="188">
        <v>0</v>
      </c>
      <c r="G177" s="188">
        <v>5.0799999999999999E-4</v>
      </c>
      <c r="H177" s="188">
        <v>5.0799999999999999E-4</v>
      </c>
      <c r="I177" s="239"/>
    </row>
    <row r="178" spans="1:9" x14ac:dyDescent="0.35">
      <c r="A178" s="244">
        <v>102</v>
      </c>
      <c r="B178" s="186" t="str">
        <f>'Employer Allocations'!A150</f>
        <v>Rockcastle County Schools</v>
      </c>
      <c r="C178" s="189">
        <v>0</v>
      </c>
      <c r="D178" s="189">
        <v>3834212</v>
      </c>
      <c r="E178" s="199">
        <v>3834212</v>
      </c>
      <c r="F178" s="188">
        <v>0</v>
      </c>
      <c r="G178" s="188">
        <v>3.738E-3</v>
      </c>
      <c r="H178" s="188">
        <v>3.738E-3</v>
      </c>
      <c r="I178" s="239"/>
    </row>
    <row r="179" spans="1:9" x14ac:dyDescent="0.35">
      <c r="A179" s="244">
        <v>103</v>
      </c>
      <c r="B179" s="186" t="str">
        <f>'Employer Allocations'!A151</f>
        <v>Rowan County Schools</v>
      </c>
      <c r="C179" s="189">
        <v>0</v>
      </c>
      <c r="D179" s="189">
        <v>3951325</v>
      </c>
      <c r="E179" s="199">
        <v>3951325</v>
      </c>
      <c r="F179" s="188">
        <v>0</v>
      </c>
      <c r="G179" s="188">
        <v>3.852E-3</v>
      </c>
      <c r="H179" s="188">
        <v>3.852E-3</v>
      </c>
      <c r="I179" s="239"/>
    </row>
    <row r="180" spans="1:9" x14ac:dyDescent="0.35">
      <c r="A180" s="244">
        <v>104</v>
      </c>
      <c r="B180" s="186" t="str">
        <f>'Employer Allocations'!A152</f>
        <v>Russell County Schools</v>
      </c>
      <c r="C180" s="189">
        <v>0</v>
      </c>
      <c r="D180" s="189">
        <v>3688730</v>
      </c>
      <c r="E180" s="199">
        <v>3688730</v>
      </c>
      <c r="F180" s="188">
        <v>0</v>
      </c>
      <c r="G180" s="188">
        <v>3.5959999999999998E-3</v>
      </c>
      <c r="H180" s="188">
        <v>3.5959999999999998E-3</v>
      </c>
      <c r="I180" s="239"/>
    </row>
    <row r="181" spans="1:9" x14ac:dyDescent="0.35">
      <c r="A181" s="244">
        <v>105</v>
      </c>
      <c r="B181" s="186" t="str">
        <f>'Employer Allocations'!A153</f>
        <v>Scott County Schools</v>
      </c>
      <c r="C181" s="189">
        <v>0</v>
      </c>
      <c r="D181" s="189">
        <v>13078723</v>
      </c>
      <c r="E181" s="199">
        <v>13078723</v>
      </c>
      <c r="F181" s="188">
        <v>0</v>
      </c>
      <c r="G181" s="188">
        <v>1.2749E-2</v>
      </c>
      <c r="H181" s="188">
        <v>1.2749E-2</v>
      </c>
      <c r="I181" s="239"/>
    </row>
    <row r="182" spans="1:9" x14ac:dyDescent="0.35">
      <c r="A182" s="244">
        <v>106</v>
      </c>
      <c r="B182" s="186" t="str">
        <f>'Employer Allocations'!A154</f>
        <v>Shelby County Schools</v>
      </c>
      <c r="C182" s="189">
        <v>0</v>
      </c>
      <c r="D182" s="189">
        <v>10654031</v>
      </c>
      <c r="E182" s="199">
        <v>10654031</v>
      </c>
      <c r="F182" s="188">
        <v>0</v>
      </c>
      <c r="G182" s="188">
        <v>1.0385E-2</v>
      </c>
      <c r="H182" s="188">
        <v>1.0385E-2</v>
      </c>
      <c r="I182" s="239"/>
    </row>
    <row r="183" spans="1:9" x14ac:dyDescent="0.35">
      <c r="A183" s="244">
        <v>107</v>
      </c>
      <c r="B183" s="186" t="str">
        <f>'Employer Allocations'!A155</f>
        <v>Simpson County Schools</v>
      </c>
      <c r="C183" s="189">
        <v>0</v>
      </c>
      <c r="D183" s="189">
        <v>4161367</v>
      </c>
      <c r="E183" s="199">
        <v>4161367</v>
      </c>
      <c r="F183" s="188">
        <v>0</v>
      </c>
      <c r="G183" s="188">
        <v>4.0559999999999997E-3</v>
      </c>
      <c r="H183" s="188">
        <v>4.0559999999999997E-3</v>
      </c>
      <c r="I183" s="239"/>
    </row>
    <row r="184" spans="1:9" x14ac:dyDescent="0.35">
      <c r="A184" s="244">
        <v>108</v>
      </c>
      <c r="B184" s="186" t="str">
        <f>'Employer Allocations'!A156</f>
        <v>Spencer County Schools</v>
      </c>
      <c r="C184" s="189">
        <v>0</v>
      </c>
      <c r="D184" s="189">
        <v>4081628</v>
      </c>
      <c r="E184" s="199">
        <v>4081628</v>
      </c>
      <c r="F184" s="188">
        <v>0</v>
      </c>
      <c r="G184" s="188">
        <v>3.9789999999999999E-3</v>
      </c>
      <c r="H184" s="188">
        <v>3.9789999999999999E-3</v>
      </c>
      <c r="I184" s="239"/>
    </row>
    <row r="185" spans="1:9" x14ac:dyDescent="0.35">
      <c r="A185" s="244">
        <v>109</v>
      </c>
      <c r="B185" s="186" t="str">
        <f>'Employer Allocations'!A157</f>
        <v>Taylor County Schools</v>
      </c>
      <c r="C185" s="189">
        <v>0</v>
      </c>
      <c r="D185" s="189">
        <v>3484537</v>
      </c>
      <c r="E185" s="199">
        <v>3484537</v>
      </c>
      <c r="F185" s="188">
        <v>0</v>
      </c>
      <c r="G185" s="188">
        <v>3.3969999999999998E-3</v>
      </c>
      <c r="H185" s="188">
        <v>3.3969999999999998E-3</v>
      </c>
      <c r="I185" s="239"/>
    </row>
    <row r="186" spans="1:9" x14ac:dyDescent="0.35">
      <c r="A186" s="244">
        <v>110</v>
      </c>
      <c r="B186" s="186" t="str">
        <f>'Employer Allocations'!A158</f>
        <v>Todd County Schools</v>
      </c>
      <c r="C186" s="189">
        <v>0</v>
      </c>
      <c r="D186" s="189">
        <v>2285517</v>
      </c>
      <c r="E186" s="199">
        <v>2285517</v>
      </c>
      <c r="F186" s="188">
        <v>0</v>
      </c>
      <c r="G186" s="188">
        <v>2.2279999999999999E-3</v>
      </c>
      <c r="H186" s="188">
        <v>2.2279999999999999E-3</v>
      </c>
      <c r="I186" s="239"/>
    </row>
    <row r="187" spans="1:9" x14ac:dyDescent="0.35">
      <c r="A187" s="244">
        <v>111</v>
      </c>
      <c r="B187" s="186" t="str">
        <f>'Employer Allocations'!A159</f>
        <v>Trigg County Schools</v>
      </c>
      <c r="C187" s="189">
        <v>0</v>
      </c>
      <c r="D187" s="189">
        <v>3050577</v>
      </c>
      <c r="E187" s="199">
        <v>3050577</v>
      </c>
      <c r="F187" s="188">
        <v>0</v>
      </c>
      <c r="G187" s="188">
        <v>2.9740000000000001E-3</v>
      </c>
      <c r="H187" s="188">
        <v>2.9740000000000001E-3</v>
      </c>
      <c r="I187" s="239"/>
    </row>
    <row r="188" spans="1:9" x14ac:dyDescent="0.35">
      <c r="A188" s="244">
        <v>112</v>
      </c>
      <c r="B188" s="186" t="str">
        <f>'Employer Allocations'!A160</f>
        <v>Trimble County Schools</v>
      </c>
      <c r="C188" s="189">
        <v>0</v>
      </c>
      <c r="D188" s="189">
        <v>1503088</v>
      </c>
      <c r="E188" s="199">
        <v>1503088</v>
      </c>
      <c r="F188" s="188">
        <v>0</v>
      </c>
      <c r="G188" s="188">
        <v>1.4649999999999999E-3</v>
      </c>
      <c r="H188" s="188">
        <v>1.4649999999999999E-3</v>
      </c>
      <c r="I188" s="239"/>
    </row>
    <row r="189" spans="1:9" x14ac:dyDescent="0.35">
      <c r="A189" s="244">
        <v>113</v>
      </c>
      <c r="B189" s="186" t="str">
        <f>'Employer Allocations'!A161</f>
        <v>Union County Schools</v>
      </c>
      <c r="C189" s="189">
        <v>0</v>
      </c>
      <c r="D189" s="189">
        <v>2926470</v>
      </c>
      <c r="E189" s="199">
        <v>2926470</v>
      </c>
      <c r="F189" s="188">
        <v>0</v>
      </c>
      <c r="G189" s="188">
        <v>2.8530000000000001E-3</v>
      </c>
      <c r="H189" s="188">
        <v>2.8530000000000001E-3</v>
      </c>
      <c r="I189" s="239"/>
    </row>
    <row r="190" spans="1:9" x14ac:dyDescent="0.35">
      <c r="A190" s="244">
        <v>114</v>
      </c>
      <c r="B190" s="186" t="str">
        <f>'Employer Allocations'!A162</f>
        <v>Warren County Schools</v>
      </c>
      <c r="C190" s="189">
        <v>0</v>
      </c>
      <c r="D190" s="189">
        <v>20754031</v>
      </c>
      <c r="E190" s="199">
        <v>20754031</v>
      </c>
      <c r="F190" s="188">
        <v>0</v>
      </c>
      <c r="G190" s="188">
        <v>2.0230999999999999E-2</v>
      </c>
      <c r="H190" s="188">
        <v>2.0230999999999999E-2</v>
      </c>
      <c r="I190" s="239"/>
    </row>
    <row r="191" spans="1:9" x14ac:dyDescent="0.35">
      <c r="A191" s="244">
        <v>115</v>
      </c>
      <c r="B191" s="186" t="str">
        <f>'Employer Allocations'!A163</f>
        <v>Washington County Schools</v>
      </c>
      <c r="C191" s="189">
        <v>0</v>
      </c>
      <c r="D191" s="189">
        <v>2462127</v>
      </c>
      <c r="E191" s="199">
        <v>2462127</v>
      </c>
      <c r="F191" s="188">
        <v>0</v>
      </c>
      <c r="G191" s="188">
        <v>2.3999999999999998E-3</v>
      </c>
      <c r="H191" s="188">
        <v>2.3999999999999998E-3</v>
      </c>
      <c r="I191" s="239"/>
    </row>
    <row r="192" spans="1:9" x14ac:dyDescent="0.35">
      <c r="A192" s="244">
        <v>116</v>
      </c>
      <c r="B192" s="186" t="str">
        <f>'Employer Allocations'!A164</f>
        <v>Wayne County Schools</v>
      </c>
      <c r="C192" s="189">
        <v>0</v>
      </c>
      <c r="D192" s="189">
        <v>4041684</v>
      </c>
      <c r="E192" s="199">
        <v>4041684</v>
      </c>
      <c r="F192" s="188">
        <v>0</v>
      </c>
      <c r="G192" s="188">
        <v>3.9399999999999999E-3</v>
      </c>
      <c r="H192" s="188">
        <v>3.9399999999999999E-3</v>
      </c>
      <c r="I192" s="239"/>
    </row>
    <row r="193" spans="1:9" hidden="1" x14ac:dyDescent="0.35">
      <c r="A193" s="244"/>
      <c r="B193" s="186"/>
      <c r="C193" s="189"/>
      <c r="D193" s="189"/>
      <c r="E193" s="199"/>
      <c r="F193" s="188"/>
      <c r="G193" s="188"/>
      <c r="H193" s="188"/>
      <c r="I193" s="239"/>
    </row>
    <row r="194" spans="1:9" hidden="1" x14ac:dyDescent="0.35">
      <c r="A194" s="244"/>
      <c r="B194" s="186"/>
      <c r="C194" s="189"/>
      <c r="D194" s="189"/>
      <c r="E194" s="199"/>
      <c r="F194" s="188"/>
      <c r="G194" s="188"/>
      <c r="H194" s="188"/>
      <c r="I194" s="239"/>
    </row>
    <row r="195" spans="1:9" ht="15" hidden="1" x14ac:dyDescent="0.6">
      <c r="A195" s="232"/>
      <c r="B195" s="231" t="s">
        <v>9</v>
      </c>
      <c r="C195" s="242" t="s">
        <v>80</v>
      </c>
      <c r="D195" s="243"/>
      <c r="E195" s="243"/>
      <c r="F195" s="242" t="s">
        <v>384</v>
      </c>
      <c r="G195" s="242"/>
      <c r="H195" s="242"/>
      <c r="I195" s="237"/>
    </row>
    <row r="196" spans="1:9" hidden="1" x14ac:dyDescent="0.35">
      <c r="A196" s="232" t="s">
        <v>379</v>
      </c>
      <c r="B196" s="231" t="s">
        <v>383</v>
      </c>
      <c r="C196" s="232" t="s">
        <v>314</v>
      </c>
      <c r="D196" s="232" t="s">
        <v>374</v>
      </c>
      <c r="E196" s="232" t="s">
        <v>64</v>
      </c>
      <c r="F196" s="232" t="s">
        <v>314</v>
      </c>
      <c r="G196" s="232" t="s">
        <v>374</v>
      </c>
      <c r="H196" s="232" t="s">
        <v>64</v>
      </c>
      <c r="I196" s="237"/>
    </row>
    <row r="197" spans="1:9" ht="15" hidden="1" x14ac:dyDescent="0.6">
      <c r="A197" s="245"/>
      <c r="B197" s="197"/>
      <c r="C197" s="184"/>
      <c r="D197" s="184"/>
      <c r="E197" s="184"/>
      <c r="F197" s="185"/>
      <c r="G197" s="185"/>
      <c r="H197" s="185"/>
      <c r="I197" s="237"/>
    </row>
    <row r="198" spans="1:9" x14ac:dyDescent="0.35">
      <c r="A198" s="244">
        <v>117</v>
      </c>
      <c r="B198" s="186" t="str">
        <f>'Employer Allocations'!A165</f>
        <v>Webster County Schools</v>
      </c>
      <c r="C198" s="189">
        <v>0</v>
      </c>
      <c r="D198" s="189">
        <v>2757413</v>
      </c>
      <c r="E198" s="199">
        <v>2757413</v>
      </c>
      <c r="F198" s="188">
        <v>0</v>
      </c>
      <c r="G198" s="188">
        <v>2.6879999999999999E-3</v>
      </c>
      <c r="H198" s="188">
        <v>2.6879999999999999E-3</v>
      </c>
      <c r="I198" s="239"/>
    </row>
    <row r="199" spans="1:9" x14ac:dyDescent="0.35">
      <c r="A199" s="244">
        <v>118</v>
      </c>
      <c r="B199" s="186" t="str">
        <f>'Employer Allocations'!A166</f>
        <v>Whitley County Schools</v>
      </c>
      <c r="C199" s="189">
        <v>0</v>
      </c>
      <c r="D199" s="189">
        <v>5679865</v>
      </c>
      <c r="E199" s="199">
        <v>5679865</v>
      </c>
      <c r="F199" s="188">
        <v>0</v>
      </c>
      <c r="G199" s="188">
        <v>5.5370000000000003E-3</v>
      </c>
      <c r="H199" s="188">
        <v>5.5370000000000003E-3</v>
      </c>
      <c r="I199" s="239"/>
    </row>
    <row r="200" spans="1:9" x14ac:dyDescent="0.35">
      <c r="A200" s="244">
        <v>119</v>
      </c>
      <c r="B200" s="186" t="str">
        <f>'Employer Allocations'!A167</f>
        <v>Wolfe County Schools</v>
      </c>
      <c r="C200" s="189">
        <v>0</v>
      </c>
      <c r="D200" s="189">
        <v>1849822</v>
      </c>
      <c r="E200" s="199">
        <v>1849822</v>
      </c>
      <c r="F200" s="188">
        <v>0</v>
      </c>
      <c r="G200" s="188">
        <v>1.8029999999999999E-3</v>
      </c>
      <c r="H200" s="188">
        <v>1.8029999999999999E-3</v>
      </c>
      <c r="I200" s="239"/>
    </row>
    <row r="201" spans="1:9" x14ac:dyDescent="0.35">
      <c r="A201" s="244">
        <v>120</v>
      </c>
      <c r="B201" s="186" t="str">
        <f>'Employer Allocations'!A168</f>
        <v>Woodford County Schools</v>
      </c>
      <c r="C201" s="189">
        <v>0</v>
      </c>
      <c r="D201" s="189">
        <v>5605892</v>
      </c>
      <c r="E201" s="199">
        <v>5605892</v>
      </c>
      <c r="F201" s="188">
        <v>0</v>
      </c>
      <c r="G201" s="188">
        <v>5.4650000000000002E-3</v>
      </c>
      <c r="H201" s="188">
        <v>5.4650000000000002E-3</v>
      </c>
      <c r="I201" s="239"/>
    </row>
    <row r="202" spans="1:9" x14ac:dyDescent="0.35">
      <c r="A202" s="244">
        <v>122</v>
      </c>
      <c r="B202" s="186" t="str">
        <f>'Employer Allocations'!A169</f>
        <v>Anchorage City Schools</v>
      </c>
      <c r="C202" s="189">
        <v>0</v>
      </c>
      <c r="D202" s="189">
        <v>1157963</v>
      </c>
      <c r="E202" s="199">
        <v>1157963</v>
      </c>
      <c r="F202" s="188">
        <v>0</v>
      </c>
      <c r="G202" s="188">
        <v>1.129E-3</v>
      </c>
      <c r="H202" s="188">
        <v>1.129E-3</v>
      </c>
      <c r="I202" s="239"/>
    </row>
    <row r="203" spans="1:9" x14ac:dyDescent="0.35">
      <c r="A203" s="244">
        <v>124</v>
      </c>
      <c r="B203" s="186" t="str">
        <f>'Employer Allocations'!A170</f>
        <v>Ashland City Schools</v>
      </c>
      <c r="C203" s="189">
        <v>0</v>
      </c>
      <c r="D203" s="189">
        <v>4639454</v>
      </c>
      <c r="E203" s="199">
        <v>4639454</v>
      </c>
      <c r="F203" s="188">
        <v>0</v>
      </c>
      <c r="G203" s="188">
        <v>4.522E-3</v>
      </c>
      <c r="H203" s="188">
        <v>4.522E-3</v>
      </c>
      <c r="I203" s="239"/>
    </row>
    <row r="204" spans="1:9" x14ac:dyDescent="0.35">
      <c r="A204" s="244">
        <v>125</v>
      </c>
      <c r="B204" s="186" t="str">
        <f>'Employer Allocations'!A171</f>
        <v>Augusta City Schools</v>
      </c>
      <c r="C204" s="189">
        <v>0</v>
      </c>
      <c r="D204" s="189">
        <v>454368</v>
      </c>
      <c r="E204" s="199">
        <v>454368</v>
      </c>
      <c r="F204" s="188">
        <v>0</v>
      </c>
      <c r="G204" s="188">
        <v>4.4299999999999998E-4</v>
      </c>
      <c r="H204" s="188">
        <v>4.4299999999999998E-4</v>
      </c>
      <c r="I204" s="239"/>
    </row>
    <row r="205" spans="1:9" x14ac:dyDescent="0.35">
      <c r="A205" s="244">
        <v>126</v>
      </c>
      <c r="B205" s="186" t="str">
        <f>'Employer Allocations'!A172</f>
        <v>Barbourville City Schools</v>
      </c>
      <c r="C205" s="189">
        <v>0</v>
      </c>
      <c r="D205" s="189">
        <v>931339</v>
      </c>
      <c r="E205" s="199">
        <v>931339</v>
      </c>
      <c r="F205" s="188">
        <v>0</v>
      </c>
      <c r="G205" s="188">
        <v>9.0799999999999995E-4</v>
      </c>
      <c r="H205" s="188">
        <v>9.0799999999999995E-4</v>
      </c>
      <c r="I205" s="239"/>
    </row>
    <row r="206" spans="1:9" x14ac:dyDescent="0.35">
      <c r="A206" s="244">
        <v>127</v>
      </c>
      <c r="B206" s="186" t="str">
        <f>'Employer Allocations'!A173</f>
        <v>Bardstown City Schools</v>
      </c>
      <c r="C206" s="189">
        <v>0</v>
      </c>
      <c r="D206" s="189">
        <v>4488819</v>
      </c>
      <c r="E206" s="199">
        <v>4488819</v>
      </c>
      <c r="F206" s="188">
        <v>0</v>
      </c>
      <c r="G206" s="188">
        <v>4.3759999999999997E-3</v>
      </c>
      <c r="H206" s="188">
        <v>4.3759999999999997E-3</v>
      </c>
      <c r="I206" s="239"/>
    </row>
    <row r="207" spans="1:9" x14ac:dyDescent="0.35">
      <c r="A207" s="244">
        <v>128</v>
      </c>
      <c r="B207" s="186" t="str">
        <f>'Employer Allocations'!A174</f>
        <v>Beechwood Independent Schools</v>
      </c>
      <c r="C207" s="189">
        <v>0</v>
      </c>
      <c r="D207" s="189">
        <v>2140960</v>
      </c>
      <c r="E207" s="199">
        <v>2140960</v>
      </c>
      <c r="F207" s="188">
        <v>0</v>
      </c>
      <c r="G207" s="188">
        <v>2.0869999999999999E-3</v>
      </c>
      <c r="H207" s="188">
        <v>2.0869999999999999E-3</v>
      </c>
      <c r="I207" s="239"/>
    </row>
    <row r="208" spans="1:9" x14ac:dyDescent="0.35">
      <c r="A208" s="244">
        <v>129</v>
      </c>
      <c r="B208" s="186" t="str">
        <f>'Employer Allocations'!A175</f>
        <v>Bellevue City Schools</v>
      </c>
      <c r="C208" s="189">
        <v>0</v>
      </c>
      <c r="D208" s="189">
        <v>1035026</v>
      </c>
      <c r="E208" s="199">
        <v>1035026</v>
      </c>
      <c r="F208" s="188">
        <v>0</v>
      </c>
      <c r="G208" s="188">
        <v>1.0089999999999999E-3</v>
      </c>
      <c r="H208" s="188">
        <v>1.0089999999999999E-3</v>
      </c>
      <c r="I208" s="239"/>
    </row>
    <row r="209" spans="1:9" x14ac:dyDescent="0.35">
      <c r="A209" s="244">
        <v>131</v>
      </c>
      <c r="B209" s="186" t="str">
        <f>'Employer Allocations'!A176</f>
        <v>Berea City Schools</v>
      </c>
      <c r="C209" s="189">
        <v>0</v>
      </c>
      <c r="D209" s="189">
        <v>1706523</v>
      </c>
      <c r="E209" s="199">
        <v>1706523</v>
      </c>
      <c r="F209" s="188">
        <v>0</v>
      </c>
      <c r="G209" s="188">
        <v>1.6639999999999999E-3</v>
      </c>
      <c r="H209" s="188">
        <v>1.6639999999999999E-3</v>
      </c>
      <c r="I209" s="239"/>
    </row>
    <row r="210" spans="1:9" x14ac:dyDescent="0.35">
      <c r="A210" s="244">
        <v>134</v>
      </c>
      <c r="B210" s="186" t="str">
        <f>'Employer Allocations'!A177</f>
        <v>Bowling Green City Schools</v>
      </c>
      <c r="C210" s="189">
        <v>0</v>
      </c>
      <c r="D210" s="189">
        <v>6201265</v>
      </c>
      <c r="E210" s="199">
        <v>6201265</v>
      </c>
      <c r="F210" s="188">
        <v>0</v>
      </c>
      <c r="G210" s="188">
        <v>6.045E-3</v>
      </c>
      <c r="H210" s="188">
        <v>6.045E-3</v>
      </c>
      <c r="I210" s="239"/>
    </row>
    <row r="211" spans="1:9" x14ac:dyDescent="0.35">
      <c r="A211" s="244">
        <v>136</v>
      </c>
      <c r="B211" s="186" t="str">
        <f>'Employer Allocations'!A178</f>
        <v>Burgin City Schools</v>
      </c>
      <c r="C211" s="189">
        <v>0</v>
      </c>
      <c r="D211" s="189">
        <v>762245</v>
      </c>
      <c r="E211" s="199">
        <v>762245</v>
      </c>
      <c r="F211" s="188">
        <v>0</v>
      </c>
      <c r="G211" s="188">
        <v>7.4299999999999995E-4</v>
      </c>
      <c r="H211" s="188">
        <v>7.4299999999999995E-4</v>
      </c>
      <c r="I211" s="239"/>
    </row>
    <row r="212" spans="1:9" x14ac:dyDescent="0.35">
      <c r="A212" s="244">
        <v>140</v>
      </c>
      <c r="B212" s="186" t="str">
        <f>'Employer Allocations'!A179</f>
        <v>Campbellsville City Schools</v>
      </c>
      <c r="C212" s="189">
        <v>0</v>
      </c>
      <c r="D212" s="189">
        <v>1762128</v>
      </c>
      <c r="E212" s="199">
        <v>1762128</v>
      </c>
      <c r="F212" s="188">
        <v>0</v>
      </c>
      <c r="G212" s="188">
        <v>1.7179999999999999E-3</v>
      </c>
      <c r="H212" s="188">
        <v>1.7179999999999999E-3</v>
      </c>
      <c r="I212" s="239"/>
    </row>
    <row r="213" spans="1:9" x14ac:dyDescent="0.35">
      <c r="A213" s="244">
        <v>144</v>
      </c>
      <c r="B213" s="186" t="str">
        <f>'Employer Allocations'!A180</f>
        <v>Caverna City Schools</v>
      </c>
      <c r="C213" s="189">
        <v>0</v>
      </c>
      <c r="D213" s="189">
        <v>1063269</v>
      </c>
      <c r="E213" s="199">
        <v>1063269</v>
      </c>
      <c r="F213" s="188">
        <v>0</v>
      </c>
      <c r="G213" s="188">
        <v>1.036E-3</v>
      </c>
      <c r="H213" s="188">
        <v>1.036E-3</v>
      </c>
      <c r="I213" s="239"/>
    </row>
    <row r="214" spans="1:9" x14ac:dyDescent="0.35">
      <c r="A214" s="244">
        <v>147</v>
      </c>
      <c r="B214" s="186" t="str">
        <f>'Employer Allocations'!A181</f>
        <v>Cloverport City Schools</v>
      </c>
      <c r="C214" s="189">
        <v>0</v>
      </c>
      <c r="D214" s="189">
        <v>483584</v>
      </c>
      <c r="E214" s="199">
        <v>483584</v>
      </c>
      <c r="F214" s="188">
        <v>0</v>
      </c>
      <c r="G214" s="188">
        <v>4.7100000000000001E-4</v>
      </c>
      <c r="H214" s="188">
        <v>4.7100000000000001E-4</v>
      </c>
      <c r="I214" s="239"/>
    </row>
    <row r="215" spans="1:9" x14ac:dyDescent="0.35">
      <c r="A215" s="244">
        <v>150</v>
      </c>
      <c r="B215" s="186" t="str">
        <f>'Employer Allocations'!A182</f>
        <v>Corbin City Schools</v>
      </c>
      <c r="C215" s="189">
        <v>0</v>
      </c>
      <c r="D215" s="189">
        <v>3961182</v>
      </c>
      <c r="E215" s="199">
        <v>3961182</v>
      </c>
      <c r="F215" s="188">
        <v>0</v>
      </c>
      <c r="G215" s="188">
        <v>3.8609999999999998E-3</v>
      </c>
      <c r="H215" s="188">
        <v>3.8609999999999998E-3</v>
      </c>
      <c r="I215" s="239"/>
    </row>
    <row r="216" spans="1:9" x14ac:dyDescent="0.35">
      <c r="A216" s="244">
        <v>151</v>
      </c>
      <c r="B216" s="186" t="str">
        <f>'Employer Allocations'!A183</f>
        <v>Covington City Schools</v>
      </c>
      <c r="C216" s="189">
        <v>0</v>
      </c>
      <c r="D216" s="189">
        <v>6677814</v>
      </c>
      <c r="E216" s="199">
        <v>6677814</v>
      </c>
      <c r="F216" s="188">
        <v>0</v>
      </c>
      <c r="G216" s="188">
        <v>6.509E-3</v>
      </c>
      <c r="H216" s="188">
        <v>6.509E-3</v>
      </c>
      <c r="I216" s="239"/>
    </row>
    <row r="217" spans="1:9" x14ac:dyDescent="0.35">
      <c r="A217" s="244">
        <v>154</v>
      </c>
      <c r="B217" s="186" t="str">
        <f>'Employer Allocations'!A184</f>
        <v>Danville City Schools</v>
      </c>
      <c r="C217" s="189">
        <v>0</v>
      </c>
      <c r="D217" s="189">
        <v>3626641</v>
      </c>
      <c r="E217" s="199">
        <v>3626641</v>
      </c>
      <c r="F217" s="188">
        <v>0</v>
      </c>
      <c r="G217" s="188">
        <v>3.5349999999999999E-3</v>
      </c>
      <c r="H217" s="188">
        <v>3.5349999999999999E-3</v>
      </c>
      <c r="I217" s="239"/>
    </row>
    <row r="218" spans="1:9" x14ac:dyDescent="0.35">
      <c r="A218" s="244">
        <v>155</v>
      </c>
      <c r="B218" s="186" t="str">
        <f>'Employer Allocations'!A185</f>
        <v>Dawson Springs City Schools</v>
      </c>
      <c r="C218" s="189">
        <v>0</v>
      </c>
      <c r="D218" s="189">
        <v>857229</v>
      </c>
      <c r="E218" s="199">
        <v>857229</v>
      </c>
      <c r="F218" s="188">
        <v>0</v>
      </c>
      <c r="G218" s="188">
        <v>8.3600000000000005E-4</v>
      </c>
      <c r="H218" s="188">
        <v>8.3600000000000005E-4</v>
      </c>
      <c r="I218" s="239"/>
    </row>
    <row r="219" spans="1:9" x14ac:dyDescent="0.35">
      <c r="A219" s="244">
        <v>156</v>
      </c>
      <c r="B219" s="186" t="str">
        <f>'Employer Allocations'!A186</f>
        <v>Dayton City Schools</v>
      </c>
      <c r="C219" s="189">
        <v>0</v>
      </c>
      <c r="D219" s="189">
        <v>1421256</v>
      </c>
      <c r="E219" s="199">
        <v>1421256</v>
      </c>
      <c r="F219" s="188">
        <v>0</v>
      </c>
      <c r="G219" s="188">
        <v>1.3849999999999999E-3</v>
      </c>
      <c r="H219" s="188">
        <v>1.3849999999999999E-3</v>
      </c>
      <c r="I219" s="239"/>
    </row>
    <row r="220" spans="1:9" x14ac:dyDescent="0.35">
      <c r="A220" s="244">
        <v>158</v>
      </c>
      <c r="B220" s="186" t="str">
        <f>'Employer Allocations'!A187</f>
        <v>East Bernstadt City Schools</v>
      </c>
      <c r="C220" s="189">
        <v>0</v>
      </c>
      <c r="D220" s="189">
        <v>670218</v>
      </c>
      <c r="E220" s="199">
        <v>670218</v>
      </c>
      <c r="F220" s="188">
        <v>0</v>
      </c>
      <c r="G220" s="188">
        <v>6.5300000000000004E-4</v>
      </c>
      <c r="H220" s="188">
        <v>6.5300000000000004E-4</v>
      </c>
      <c r="I220" s="239"/>
    </row>
    <row r="221" spans="1:9" x14ac:dyDescent="0.35">
      <c r="A221" s="244">
        <v>160</v>
      </c>
      <c r="B221" s="186" t="str">
        <f>'Employer Allocations'!A188</f>
        <v>Elizabethtown City Schools</v>
      </c>
      <c r="C221" s="189">
        <v>0</v>
      </c>
      <c r="D221" s="189">
        <v>3634117</v>
      </c>
      <c r="E221" s="199">
        <v>3634117</v>
      </c>
      <c r="F221" s="188">
        <v>0</v>
      </c>
      <c r="G221" s="188">
        <v>3.5430000000000001E-3</v>
      </c>
      <c r="H221" s="188">
        <v>3.5430000000000001E-3</v>
      </c>
      <c r="I221" s="239"/>
    </row>
    <row r="222" spans="1:9" x14ac:dyDescent="0.35">
      <c r="A222" s="244">
        <v>161</v>
      </c>
      <c r="B222" s="186" t="str">
        <f>'Employer Allocations'!A189</f>
        <v>Eminence Independent Schools</v>
      </c>
      <c r="C222" s="189">
        <v>0</v>
      </c>
      <c r="D222" s="189">
        <v>1296310</v>
      </c>
      <c r="E222" s="199">
        <v>1296310</v>
      </c>
      <c r="F222" s="188">
        <v>0</v>
      </c>
      <c r="G222" s="188">
        <v>1.2639999999999999E-3</v>
      </c>
      <c r="H222" s="188">
        <v>1.2639999999999999E-3</v>
      </c>
      <c r="I222" s="239"/>
    </row>
    <row r="223" spans="1:9" x14ac:dyDescent="0.35">
      <c r="A223" s="244">
        <v>162</v>
      </c>
      <c r="B223" s="186" t="str">
        <f>'Employer Allocations'!A190</f>
        <v>Erlanger-Elsmere City Schools</v>
      </c>
      <c r="C223" s="189">
        <v>0</v>
      </c>
      <c r="D223" s="189">
        <v>3665529</v>
      </c>
      <c r="E223" s="199">
        <v>3665529</v>
      </c>
      <c r="F223" s="188">
        <v>0</v>
      </c>
      <c r="G223" s="188">
        <v>3.5729999999999998E-3</v>
      </c>
      <c r="H223" s="188">
        <v>3.5729999999999998E-3</v>
      </c>
      <c r="I223" s="239"/>
    </row>
    <row r="224" spans="1:9" x14ac:dyDescent="0.35">
      <c r="A224" s="244">
        <v>163</v>
      </c>
      <c r="B224" s="186" t="str">
        <f>'Employer Allocations'!A191</f>
        <v>Fairview Independent Schools</v>
      </c>
      <c r="C224" s="189">
        <v>0</v>
      </c>
      <c r="D224" s="189">
        <v>817489</v>
      </c>
      <c r="E224" s="199">
        <v>817489</v>
      </c>
      <c r="F224" s="188">
        <v>0</v>
      </c>
      <c r="G224" s="188">
        <v>7.9699999999999997E-4</v>
      </c>
      <c r="H224" s="188">
        <v>7.9699999999999997E-4</v>
      </c>
      <c r="I224" s="239"/>
    </row>
    <row r="225" spans="1:9" x14ac:dyDescent="0.35">
      <c r="A225" s="244">
        <v>166</v>
      </c>
      <c r="B225" s="186" t="str">
        <f>'Employer Allocations'!A192</f>
        <v>Fort Thomas Independent Schools</v>
      </c>
      <c r="C225" s="189">
        <v>0</v>
      </c>
      <c r="D225" s="189">
        <v>4919854</v>
      </c>
      <c r="E225" s="199">
        <v>4919854</v>
      </c>
      <c r="F225" s="188">
        <v>0</v>
      </c>
      <c r="G225" s="188">
        <v>4.7959999999999999E-3</v>
      </c>
      <c r="H225" s="188">
        <v>4.7959999999999999E-3</v>
      </c>
      <c r="I225" s="239"/>
    </row>
    <row r="226" spans="1:9" x14ac:dyDescent="0.35">
      <c r="A226" s="244">
        <v>167</v>
      </c>
      <c r="B226" s="186" t="str">
        <f>'Employer Allocations'!A193</f>
        <v>Frankfort City Schools</v>
      </c>
      <c r="C226" s="189">
        <v>0</v>
      </c>
      <c r="D226" s="189">
        <v>1443420</v>
      </c>
      <c r="E226" s="199">
        <v>1443420</v>
      </c>
      <c r="F226" s="188">
        <v>0</v>
      </c>
      <c r="G226" s="188">
        <v>1.407E-3</v>
      </c>
      <c r="H226" s="188">
        <v>1.407E-3</v>
      </c>
      <c r="I226" s="239"/>
    </row>
    <row r="227" spans="1:9" hidden="1" x14ac:dyDescent="0.35">
      <c r="A227" s="244"/>
      <c r="B227" s="186"/>
      <c r="C227" s="189"/>
      <c r="D227" s="189"/>
      <c r="E227" s="199"/>
      <c r="F227" s="188"/>
      <c r="G227" s="188"/>
      <c r="H227" s="188"/>
      <c r="I227" s="239"/>
    </row>
    <row r="228" spans="1:9" hidden="1" x14ac:dyDescent="0.35">
      <c r="A228" s="244"/>
      <c r="B228" s="186"/>
      <c r="C228" s="189"/>
      <c r="D228" s="189"/>
      <c r="E228" s="199"/>
      <c r="F228" s="188"/>
      <c r="G228" s="188"/>
      <c r="H228" s="188"/>
      <c r="I228" s="239"/>
    </row>
    <row r="229" spans="1:9" ht="15" hidden="1" x14ac:dyDescent="0.6">
      <c r="A229" s="232"/>
      <c r="B229" s="231" t="s">
        <v>9</v>
      </c>
      <c r="C229" s="242" t="s">
        <v>80</v>
      </c>
      <c r="D229" s="243"/>
      <c r="E229" s="243"/>
      <c r="F229" s="242" t="s">
        <v>384</v>
      </c>
      <c r="G229" s="242"/>
      <c r="H229" s="242"/>
      <c r="I229" s="237"/>
    </row>
    <row r="230" spans="1:9" hidden="1" x14ac:dyDescent="0.35">
      <c r="A230" s="232" t="s">
        <v>379</v>
      </c>
      <c r="B230" s="231" t="s">
        <v>383</v>
      </c>
      <c r="C230" s="232" t="s">
        <v>314</v>
      </c>
      <c r="D230" s="232" t="s">
        <v>374</v>
      </c>
      <c r="E230" s="232" t="s">
        <v>64</v>
      </c>
      <c r="F230" s="232" t="s">
        <v>314</v>
      </c>
      <c r="G230" s="232" t="s">
        <v>374</v>
      </c>
      <c r="H230" s="232" t="s">
        <v>64</v>
      </c>
      <c r="I230" s="237"/>
    </row>
    <row r="231" spans="1:9" ht="15" hidden="1" x14ac:dyDescent="0.6">
      <c r="A231" s="245"/>
      <c r="B231" s="197"/>
      <c r="C231" s="184"/>
      <c r="D231" s="184"/>
      <c r="E231" s="184"/>
      <c r="F231" s="185"/>
      <c r="G231" s="185"/>
      <c r="H231" s="185"/>
      <c r="I231" s="237"/>
    </row>
    <row r="232" spans="1:9" x14ac:dyDescent="0.35">
      <c r="A232" s="244">
        <v>170</v>
      </c>
      <c r="B232" s="186" t="str">
        <f>'Employer Allocations'!A194</f>
        <v>Fulton City Schools</v>
      </c>
      <c r="C232" s="189">
        <v>0</v>
      </c>
      <c r="D232" s="189">
        <v>534625</v>
      </c>
      <c r="E232" s="199">
        <v>534625</v>
      </c>
      <c r="F232" s="188">
        <v>0</v>
      </c>
      <c r="G232" s="188">
        <v>5.2099999999999998E-4</v>
      </c>
      <c r="H232" s="188">
        <v>5.2099999999999998E-4</v>
      </c>
      <c r="I232" s="239"/>
    </row>
    <row r="233" spans="1:9" x14ac:dyDescent="0.35">
      <c r="A233" s="244">
        <v>173</v>
      </c>
      <c r="B233" s="186" t="str">
        <f>'Employer Allocations'!A195</f>
        <v>Glasgow City Schools</v>
      </c>
      <c r="C233" s="189">
        <v>0</v>
      </c>
      <c r="D233" s="189">
        <v>3305960</v>
      </c>
      <c r="E233" s="199">
        <v>3305960</v>
      </c>
      <c r="F233" s="188">
        <v>0</v>
      </c>
      <c r="G233" s="188">
        <v>3.2230000000000002E-3</v>
      </c>
      <c r="H233" s="188">
        <v>3.2230000000000002E-3</v>
      </c>
      <c r="I233" s="239"/>
    </row>
    <row r="234" spans="1:9" x14ac:dyDescent="0.35">
      <c r="A234" s="244">
        <v>180</v>
      </c>
      <c r="B234" s="186" t="str">
        <f>'Employer Allocations'!A196</f>
        <v>Harlan City Schools</v>
      </c>
      <c r="C234" s="189">
        <v>0</v>
      </c>
      <c r="D234" s="189">
        <v>919353</v>
      </c>
      <c r="E234" s="199">
        <v>919353</v>
      </c>
      <c r="F234" s="188">
        <v>0</v>
      </c>
      <c r="G234" s="188">
        <v>8.9599999999999999E-4</v>
      </c>
      <c r="H234" s="188">
        <v>8.9599999999999999E-4</v>
      </c>
      <c r="I234" s="239"/>
    </row>
    <row r="235" spans="1:9" x14ac:dyDescent="0.35">
      <c r="A235" s="244">
        <v>182</v>
      </c>
      <c r="B235" s="186" t="str">
        <f>'Employer Allocations'!A197</f>
        <v>Hazard Independent Schools</v>
      </c>
      <c r="C235" s="189">
        <v>0</v>
      </c>
      <c r="D235" s="189">
        <v>1368350</v>
      </c>
      <c r="E235" s="199">
        <v>1368350</v>
      </c>
      <c r="F235" s="188">
        <v>0</v>
      </c>
      <c r="G235" s="188">
        <v>1.3339999999999999E-3</v>
      </c>
      <c r="H235" s="188">
        <v>1.3339999999999999E-3</v>
      </c>
      <c r="I235" s="239"/>
    </row>
    <row r="236" spans="1:9" x14ac:dyDescent="0.35">
      <c r="A236" s="244">
        <v>190</v>
      </c>
      <c r="B236" s="186" t="str">
        <f>'Employer Allocations'!A198</f>
        <v>Jackson City Schools</v>
      </c>
      <c r="C236" s="189">
        <v>0</v>
      </c>
      <c r="D236" s="189">
        <v>353452</v>
      </c>
      <c r="E236" s="199">
        <v>353452</v>
      </c>
      <c r="F236" s="188">
        <v>0</v>
      </c>
      <c r="G236" s="188">
        <v>3.4499999999999998E-4</v>
      </c>
      <c r="H236" s="188">
        <v>3.4499999999999998E-4</v>
      </c>
      <c r="I236" s="239"/>
    </row>
    <row r="237" spans="1:9" x14ac:dyDescent="0.35">
      <c r="A237" s="244">
        <v>191</v>
      </c>
      <c r="B237" s="186" t="str">
        <f>'Employer Allocations'!A199</f>
        <v>Jenkins City Schools</v>
      </c>
      <c r="C237" s="189">
        <v>0</v>
      </c>
      <c r="D237" s="189">
        <v>673714</v>
      </c>
      <c r="E237" s="199">
        <v>673714</v>
      </c>
      <c r="F237" s="188">
        <v>0</v>
      </c>
      <c r="G237" s="188">
        <v>6.5700000000000003E-4</v>
      </c>
      <c r="H237" s="188">
        <v>6.5700000000000003E-4</v>
      </c>
      <c r="I237" s="239"/>
    </row>
    <row r="238" spans="1:9" x14ac:dyDescent="0.35">
      <c r="A238" s="244">
        <v>206</v>
      </c>
      <c r="B238" s="186" t="str">
        <f>'Employer Allocations'!A200</f>
        <v>Ludlow City Schools</v>
      </c>
      <c r="C238" s="189">
        <v>0</v>
      </c>
      <c r="D238" s="189">
        <v>1312296</v>
      </c>
      <c r="E238" s="199">
        <v>1312296</v>
      </c>
      <c r="F238" s="188">
        <v>0</v>
      </c>
      <c r="G238" s="188">
        <v>1.279E-3</v>
      </c>
      <c r="H238" s="188">
        <v>1.279E-3</v>
      </c>
      <c r="I238" s="239"/>
    </row>
    <row r="239" spans="1:9" x14ac:dyDescent="0.35">
      <c r="A239" s="244">
        <v>210</v>
      </c>
      <c r="B239" s="186" t="str">
        <f>'Employer Allocations'!A201</f>
        <v>Mayfield City Schools</v>
      </c>
      <c r="C239" s="189">
        <v>0</v>
      </c>
      <c r="D239" s="189">
        <v>2255257</v>
      </c>
      <c r="E239" s="199">
        <v>2255257</v>
      </c>
      <c r="F239" s="188">
        <v>0</v>
      </c>
      <c r="G239" s="188">
        <v>2.1979999999999999E-3</v>
      </c>
      <c r="H239" s="188">
        <v>2.1979999999999999E-3</v>
      </c>
      <c r="I239" s="239"/>
    </row>
    <row r="240" spans="1:9" x14ac:dyDescent="0.35">
      <c r="A240" s="244">
        <v>214</v>
      </c>
      <c r="B240" s="186" t="str">
        <f>'Employer Allocations'!A202</f>
        <v>Middlesboro City Schools</v>
      </c>
      <c r="C240" s="189">
        <v>0</v>
      </c>
      <c r="D240" s="189">
        <v>1577947</v>
      </c>
      <c r="E240" s="199">
        <v>1577947</v>
      </c>
      <c r="F240" s="188">
        <v>0</v>
      </c>
      <c r="G240" s="188">
        <v>1.5380000000000001E-3</v>
      </c>
      <c r="H240" s="188">
        <v>1.5380000000000001E-3</v>
      </c>
      <c r="I240" s="239"/>
    </row>
    <row r="241" spans="1:9" x14ac:dyDescent="0.35">
      <c r="A241" s="244">
        <v>221</v>
      </c>
      <c r="B241" s="186" t="str">
        <f>'Employer Allocations'!A203</f>
        <v>Murray City Schools</v>
      </c>
      <c r="C241" s="189">
        <v>0</v>
      </c>
      <c r="D241" s="189">
        <v>2460253</v>
      </c>
      <c r="E241" s="199">
        <v>2460253</v>
      </c>
      <c r="F241" s="188">
        <v>0</v>
      </c>
      <c r="G241" s="188">
        <v>2.398E-3</v>
      </c>
      <c r="H241" s="188">
        <v>2.398E-3</v>
      </c>
      <c r="I241" s="239"/>
    </row>
    <row r="242" spans="1:9" x14ac:dyDescent="0.35">
      <c r="A242" s="244">
        <v>222</v>
      </c>
      <c r="B242" s="186" t="str">
        <f>'Employer Allocations'!A204</f>
        <v>Newport City Schools</v>
      </c>
      <c r="C242" s="189">
        <v>0</v>
      </c>
      <c r="D242" s="189">
        <v>2956102</v>
      </c>
      <c r="E242" s="199">
        <v>2956102</v>
      </c>
      <c r="F242" s="188">
        <v>0</v>
      </c>
      <c r="G242" s="188">
        <v>2.882E-3</v>
      </c>
      <c r="H242" s="188">
        <v>2.882E-3</v>
      </c>
      <c r="I242" s="239"/>
    </row>
    <row r="243" spans="1:9" x14ac:dyDescent="0.35">
      <c r="A243" s="244">
        <v>224</v>
      </c>
      <c r="B243" s="186" t="str">
        <f>'Employer Allocations'!A205</f>
        <v>Owensboro City Schools</v>
      </c>
      <c r="C243" s="189">
        <v>0</v>
      </c>
      <c r="D243" s="189">
        <v>8111506</v>
      </c>
      <c r="E243" s="199">
        <v>8111506</v>
      </c>
      <c r="F243" s="188">
        <v>0</v>
      </c>
      <c r="G243" s="188">
        <v>7.9070000000000008E-3</v>
      </c>
      <c r="H243" s="188">
        <v>7.9070000000000008E-3</v>
      </c>
      <c r="I243" s="239"/>
    </row>
    <row r="244" spans="1:9" x14ac:dyDescent="0.35">
      <c r="A244" s="244">
        <v>226</v>
      </c>
      <c r="B244" s="186" t="str">
        <f>'Employer Allocations'!A206</f>
        <v>Paducah City Schools</v>
      </c>
      <c r="C244" s="189">
        <v>0</v>
      </c>
      <c r="D244" s="189">
        <v>4364481</v>
      </c>
      <c r="E244" s="199">
        <v>4364481</v>
      </c>
      <c r="F244" s="188">
        <v>0</v>
      </c>
      <c r="G244" s="188">
        <v>4.254E-3</v>
      </c>
      <c r="H244" s="188">
        <v>4.254E-3</v>
      </c>
      <c r="I244" s="239"/>
    </row>
    <row r="245" spans="1:9" x14ac:dyDescent="0.35">
      <c r="A245" s="244">
        <v>227</v>
      </c>
      <c r="B245" s="186" t="str">
        <f>'Employer Allocations'!A207</f>
        <v>Paintsville City Schools</v>
      </c>
      <c r="C245" s="189">
        <v>0</v>
      </c>
      <c r="D245" s="189">
        <v>1224636</v>
      </c>
      <c r="E245" s="199">
        <v>1224636</v>
      </c>
      <c r="F245" s="188">
        <v>0</v>
      </c>
      <c r="G245" s="188">
        <v>1.194E-3</v>
      </c>
      <c r="H245" s="188">
        <v>1.194E-3</v>
      </c>
      <c r="I245" s="239"/>
    </row>
    <row r="246" spans="1:9" x14ac:dyDescent="0.35">
      <c r="A246" s="244">
        <v>228</v>
      </c>
      <c r="B246" s="186" t="str">
        <f>'Employer Allocations'!A208</f>
        <v>Paris City Schools</v>
      </c>
      <c r="C246" s="189">
        <v>0</v>
      </c>
      <c r="D246" s="189">
        <v>950947</v>
      </c>
      <c r="E246" s="199">
        <v>950947</v>
      </c>
      <c r="F246" s="188">
        <v>0</v>
      </c>
      <c r="G246" s="188">
        <v>9.2699999999999998E-4</v>
      </c>
      <c r="H246" s="188">
        <v>9.2699999999999998E-4</v>
      </c>
      <c r="I246" s="239"/>
    </row>
    <row r="247" spans="1:9" x14ac:dyDescent="0.35">
      <c r="A247" s="244">
        <v>230</v>
      </c>
      <c r="B247" s="186" t="str">
        <f>'Employer Allocations'!A209</f>
        <v>Pikeville City Schools</v>
      </c>
      <c r="C247" s="189">
        <v>0</v>
      </c>
      <c r="D247" s="189">
        <v>2134922</v>
      </c>
      <c r="E247" s="199">
        <v>2134922</v>
      </c>
      <c r="F247" s="188">
        <v>0</v>
      </c>
      <c r="G247" s="188">
        <v>2.081E-3</v>
      </c>
      <c r="H247" s="188">
        <v>2.081E-3</v>
      </c>
      <c r="I247" s="239"/>
    </row>
    <row r="248" spans="1:9" x14ac:dyDescent="0.35">
      <c r="A248" s="244">
        <v>231</v>
      </c>
      <c r="B248" s="186" t="str">
        <f>'Employer Allocations'!A210</f>
        <v>Pineville City Schools</v>
      </c>
      <c r="C248" s="189">
        <v>0</v>
      </c>
      <c r="D248" s="189">
        <v>757014</v>
      </c>
      <c r="E248" s="199">
        <v>757014</v>
      </c>
      <c r="F248" s="188">
        <v>0</v>
      </c>
      <c r="G248" s="188">
        <v>7.3800000000000005E-4</v>
      </c>
      <c r="H248" s="188">
        <v>7.3800000000000005E-4</v>
      </c>
      <c r="I248" s="239"/>
    </row>
    <row r="249" spans="1:9" x14ac:dyDescent="0.35">
      <c r="A249" s="244">
        <v>235</v>
      </c>
      <c r="B249" s="186" t="str">
        <f>'Employer Allocations'!A211</f>
        <v>Raceland City Schools</v>
      </c>
      <c r="C249" s="189">
        <v>0</v>
      </c>
      <c r="D249" s="189">
        <v>1382906</v>
      </c>
      <c r="E249" s="199">
        <v>1382906</v>
      </c>
      <c r="F249" s="188">
        <v>0</v>
      </c>
      <c r="G249" s="188">
        <v>1.348E-3</v>
      </c>
      <c r="H249" s="188">
        <v>1.348E-3</v>
      </c>
      <c r="I249" s="239"/>
    </row>
    <row r="250" spans="1:9" x14ac:dyDescent="0.35">
      <c r="A250" s="244">
        <v>238</v>
      </c>
      <c r="B250" s="186" t="str">
        <f>'Employer Allocations'!A212</f>
        <v>Russell City Schools</v>
      </c>
      <c r="C250" s="189">
        <v>0</v>
      </c>
      <c r="D250" s="189">
        <v>3285737</v>
      </c>
      <c r="E250" s="199">
        <v>3285737</v>
      </c>
      <c r="F250" s="188">
        <v>0</v>
      </c>
      <c r="G250" s="188">
        <v>3.2030000000000001E-3</v>
      </c>
      <c r="H250" s="188">
        <v>3.2030000000000001E-3</v>
      </c>
      <c r="I250" s="239"/>
    </row>
    <row r="251" spans="1:9" x14ac:dyDescent="0.35">
      <c r="A251" s="244">
        <v>239</v>
      </c>
      <c r="B251" s="186" t="str">
        <f>'Employer Allocations'!A213</f>
        <v>Russellville City Schools</v>
      </c>
      <c r="C251" s="189">
        <v>0</v>
      </c>
      <c r="D251" s="189">
        <v>1462041</v>
      </c>
      <c r="E251" s="199">
        <v>1462041</v>
      </c>
      <c r="F251" s="188">
        <v>0</v>
      </c>
      <c r="G251" s="188">
        <v>1.4250000000000001E-3</v>
      </c>
      <c r="H251" s="188">
        <v>1.4250000000000001E-3</v>
      </c>
      <c r="I251" s="239"/>
    </row>
    <row r="252" spans="1:9" x14ac:dyDescent="0.35">
      <c r="A252" s="244">
        <v>240</v>
      </c>
      <c r="B252" s="186" t="str">
        <f>'Employer Allocations'!A214</f>
        <v>Science Hill City Schools</v>
      </c>
      <c r="C252" s="189">
        <v>0</v>
      </c>
      <c r="D252" s="189">
        <v>540749</v>
      </c>
      <c r="E252" s="199">
        <v>540749</v>
      </c>
      <c r="F252" s="188">
        <v>0</v>
      </c>
      <c r="G252" s="188">
        <v>5.2700000000000002E-4</v>
      </c>
      <c r="H252" s="188">
        <v>5.2700000000000002E-4</v>
      </c>
      <c r="I252" s="239"/>
    </row>
    <row r="253" spans="1:9" x14ac:dyDescent="0.35">
      <c r="A253" s="244">
        <v>246</v>
      </c>
      <c r="B253" s="186" t="str">
        <f>'Employer Allocations'!A216</f>
        <v>Somerset City Schools</v>
      </c>
      <c r="C253" s="189">
        <v>0</v>
      </c>
      <c r="D253" s="189">
        <v>2327114</v>
      </c>
      <c r="E253" s="199">
        <v>2327114</v>
      </c>
      <c r="F253" s="188">
        <v>0</v>
      </c>
      <c r="G253" s="188">
        <v>2.2680000000000001E-3</v>
      </c>
      <c r="H253" s="188">
        <v>2.2680000000000001E-3</v>
      </c>
      <c r="I253" s="239"/>
    </row>
    <row r="254" spans="1:9" x14ac:dyDescent="0.35">
      <c r="A254" s="244">
        <v>247</v>
      </c>
      <c r="B254" s="186" t="str">
        <f>'Employer Allocations'!A217</f>
        <v>Southgate City Schools</v>
      </c>
      <c r="C254" s="189">
        <v>0</v>
      </c>
      <c r="D254" s="189">
        <v>389011</v>
      </c>
      <c r="E254" s="199">
        <v>389011</v>
      </c>
      <c r="F254" s="188">
        <v>0</v>
      </c>
      <c r="G254" s="188">
        <v>3.79E-4</v>
      </c>
      <c r="H254" s="188">
        <v>3.79E-4</v>
      </c>
      <c r="I254" s="239"/>
    </row>
    <row r="255" spans="1:9" x14ac:dyDescent="0.35">
      <c r="A255" s="244">
        <v>258</v>
      </c>
      <c r="B255" s="186" t="str">
        <f>'Employer Allocations'!A218</f>
        <v>Walton-Verona Independent Schools</v>
      </c>
      <c r="C255" s="189">
        <v>0</v>
      </c>
      <c r="D255" s="189">
        <v>2633506</v>
      </c>
      <c r="E255" s="199">
        <v>2633506</v>
      </c>
      <c r="F255" s="188">
        <v>0</v>
      </c>
      <c r="G255" s="188">
        <v>2.5669999999999998E-3</v>
      </c>
      <c r="H255" s="188">
        <v>2.5669999999999998E-3</v>
      </c>
      <c r="I255" s="239"/>
    </row>
    <row r="256" spans="1:9" x14ac:dyDescent="0.35">
      <c r="A256" s="244">
        <v>259</v>
      </c>
      <c r="B256" s="186" t="str">
        <f>'Employer Allocations'!A219</f>
        <v>West Point City Schools</v>
      </c>
      <c r="C256" s="189">
        <v>0</v>
      </c>
      <c r="D256" s="189">
        <v>228596</v>
      </c>
      <c r="E256" s="199">
        <v>228596</v>
      </c>
      <c r="F256" s="188">
        <v>0</v>
      </c>
      <c r="G256" s="188">
        <v>2.23E-4</v>
      </c>
      <c r="H256" s="188">
        <v>2.23E-4</v>
      </c>
      <c r="I256" s="239"/>
    </row>
    <row r="257" spans="1:9" x14ac:dyDescent="0.35">
      <c r="A257" s="244">
        <v>260</v>
      </c>
      <c r="B257" s="186" t="str">
        <f>'Employer Allocations'!A220</f>
        <v>Williamsburg City Schools</v>
      </c>
      <c r="C257" s="189">
        <v>0</v>
      </c>
      <c r="D257" s="189">
        <v>1020420</v>
      </c>
      <c r="E257" s="199">
        <v>1020420</v>
      </c>
      <c r="F257" s="188">
        <v>0</v>
      </c>
      <c r="G257" s="188">
        <v>9.9500000000000001E-4</v>
      </c>
      <c r="H257" s="188">
        <v>9.9500000000000001E-4</v>
      </c>
      <c r="I257" s="239"/>
    </row>
    <row r="258" spans="1:9" x14ac:dyDescent="0.35">
      <c r="A258" s="244">
        <v>261</v>
      </c>
      <c r="B258" s="186" t="str">
        <f>'Employer Allocations'!A221</f>
        <v>Williamstown City Schools</v>
      </c>
      <c r="C258" s="189">
        <v>0</v>
      </c>
      <c r="D258" s="189">
        <v>1028542</v>
      </c>
      <c r="E258" s="199">
        <v>1028542</v>
      </c>
      <c r="F258" s="188">
        <v>0</v>
      </c>
      <c r="G258" s="188">
        <v>1.003E-3</v>
      </c>
      <c r="H258" s="188">
        <v>1.003E-3</v>
      </c>
      <c r="I258" s="239"/>
    </row>
    <row r="259" spans="1:9" x14ac:dyDescent="0.35">
      <c r="A259" s="244">
        <v>870</v>
      </c>
      <c r="B259" s="186" t="str">
        <f>'Employer Allocations'!A222</f>
        <v>Ohio Valley Educational Cooperative</v>
      </c>
      <c r="C259" s="189">
        <v>0</v>
      </c>
      <c r="D259" s="189">
        <v>713172</v>
      </c>
      <c r="E259" s="199">
        <v>713172</v>
      </c>
      <c r="F259" s="188">
        <v>0</v>
      </c>
      <c r="G259" s="188">
        <v>6.9499999999999998E-4</v>
      </c>
      <c r="H259" s="188">
        <v>6.9499999999999998E-4</v>
      </c>
      <c r="I259" s="239"/>
    </row>
    <row r="260" spans="1:9" hidden="1" x14ac:dyDescent="0.35">
      <c r="A260" s="244"/>
      <c r="B260" s="186"/>
      <c r="C260" s="189"/>
      <c r="D260" s="189"/>
      <c r="E260" s="199"/>
      <c r="F260" s="188"/>
      <c r="G260" s="188"/>
      <c r="H260" s="188"/>
      <c r="I260" s="239"/>
    </row>
    <row r="261" spans="1:9" hidden="1" x14ac:dyDescent="0.35">
      <c r="A261" s="244"/>
      <c r="B261" s="186"/>
      <c r="C261" s="189"/>
      <c r="D261" s="189"/>
      <c r="E261" s="199"/>
      <c r="F261" s="188"/>
      <c r="G261" s="188"/>
      <c r="H261" s="188"/>
      <c r="I261" s="239"/>
    </row>
    <row r="262" spans="1:9" ht="15" hidden="1" x14ac:dyDescent="0.6">
      <c r="A262" s="232"/>
      <c r="B262" s="231" t="s">
        <v>9</v>
      </c>
      <c r="C262" s="242" t="s">
        <v>80</v>
      </c>
      <c r="D262" s="243"/>
      <c r="E262" s="243"/>
      <c r="F262" s="242" t="s">
        <v>384</v>
      </c>
      <c r="G262" s="242"/>
      <c r="H262" s="242"/>
      <c r="I262" s="237"/>
    </row>
    <row r="263" spans="1:9" hidden="1" x14ac:dyDescent="0.35">
      <c r="A263" s="232" t="s">
        <v>379</v>
      </c>
      <c r="B263" s="231" t="s">
        <v>383</v>
      </c>
      <c r="C263" s="232" t="s">
        <v>314</v>
      </c>
      <c r="D263" s="232" t="s">
        <v>374</v>
      </c>
      <c r="E263" s="232" t="s">
        <v>64</v>
      </c>
      <c r="F263" s="232" t="s">
        <v>314</v>
      </c>
      <c r="G263" s="232" t="s">
        <v>374</v>
      </c>
      <c r="H263" s="232" t="s">
        <v>64</v>
      </c>
      <c r="I263" s="237"/>
    </row>
    <row r="264" spans="1:9" ht="15" hidden="1" x14ac:dyDescent="0.6">
      <c r="A264" s="245"/>
      <c r="B264" s="197"/>
      <c r="C264" s="184"/>
      <c r="D264" s="184"/>
      <c r="E264" s="184"/>
      <c r="F264" s="185"/>
      <c r="G264" s="185"/>
      <c r="H264" s="185"/>
      <c r="I264" s="237"/>
    </row>
    <row r="265" spans="1:9" x14ac:dyDescent="0.35">
      <c r="A265" s="244">
        <v>871</v>
      </c>
      <c r="B265" s="186" t="str">
        <f>'Employer Allocations'!A223</f>
        <v>West Kentucky Educational Cooperative</v>
      </c>
      <c r="C265" s="189">
        <v>0</v>
      </c>
      <c r="D265" s="189">
        <v>361494</v>
      </c>
      <c r="E265" s="199">
        <v>361494</v>
      </c>
      <c r="F265" s="188">
        <v>0</v>
      </c>
      <c r="G265" s="188">
        <v>3.5199999999999999E-4</v>
      </c>
      <c r="H265" s="188">
        <v>3.5199999999999999E-4</v>
      </c>
      <c r="I265" s="239"/>
    </row>
    <row r="266" spans="1:9" x14ac:dyDescent="0.35">
      <c r="A266" s="244">
        <v>872</v>
      </c>
      <c r="B266" s="186" t="str">
        <f>'Employer Allocations'!A224</f>
        <v>Southeast South-Central Educational Cooperative</v>
      </c>
      <c r="C266" s="189">
        <v>0</v>
      </c>
      <c r="D266" s="189">
        <v>123125</v>
      </c>
      <c r="E266" s="199">
        <v>123125</v>
      </c>
      <c r="F266" s="188">
        <v>0</v>
      </c>
      <c r="G266" s="188">
        <v>1.2E-4</v>
      </c>
      <c r="H266" s="188">
        <v>1.2E-4</v>
      </c>
      <c r="I266" s="239"/>
    </row>
    <row r="267" spans="1:9" x14ac:dyDescent="0.35">
      <c r="A267" s="244">
        <v>890</v>
      </c>
      <c r="B267" s="186" t="str">
        <f>'Employer Allocations'!A225</f>
        <v>Green River Regional Educational Cooperative</v>
      </c>
      <c r="C267" s="189">
        <v>0</v>
      </c>
      <c r="D267" s="189">
        <v>250480</v>
      </c>
      <c r="E267" s="199">
        <v>250480</v>
      </c>
      <c r="F267" s="188">
        <v>0</v>
      </c>
      <c r="G267" s="188">
        <v>2.4399999999999999E-4</v>
      </c>
      <c r="H267" s="188">
        <v>2.4399999999999999E-4</v>
      </c>
      <c r="I267" s="239"/>
    </row>
    <row r="268" spans="1:9" x14ac:dyDescent="0.35">
      <c r="A268" s="244">
        <v>891</v>
      </c>
      <c r="B268" s="186" t="str">
        <f>'Employer Allocations'!A226</f>
        <v>Central KY Special Education Cooperative</v>
      </c>
      <c r="C268" s="189">
        <v>0</v>
      </c>
      <c r="D268" s="189">
        <v>100492</v>
      </c>
      <c r="E268" s="199">
        <v>100492</v>
      </c>
      <c r="F268" s="188">
        <v>0</v>
      </c>
      <c r="G268" s="188">
        <v>9.7999999999999997E-5</v>
      </c>
      <c r="H268" s="188">
        <v>9.7999999999999997E-5</v>
      </c>
      <c r="I268" s="239"/>
    </row>
    <row r="269" spans="1:9" x14ac:dyDescent="0.35">
      <c r="A269" s="244">
        <v>892</v>
      </c>
      <c r="B269" s="186" t="str">
        <f>'Employer Allocations'!A227</f>
        <v>KY Valley Educational Cooperative</v>
      </c>
      <c r="C269" s="189">
        <v>0</v>
      </c>
      <c r="D269" s="189">
        <v>288043</v>
      </c>
      <c r="E269" s="199">
        <v>288043</v>
      </c>
      <c r="F269" s="188">
        <v>0</v>
      </c>
      <c r="G269" s="188">
        <v>2.81E-4</v>
      </c>
      <c r="H269" s="188">
        <v>2.81E-4</v>
      </c>
      <c r="I269" s="239"/>
    </row>
    <row r="270" spans="1:9" x14ac:dyDescent="0.35">
      <c r="A270" s="244">
        <v>894</v>
      </c>
      <c r="B270" s="186" t="str">
        <f>'Employer Allocations'!A228</f>
        <v>KY Educational Development Corporation</v>
      </c>
      <c r="C270" s="189">
        <v>0</v>
      </c>
      <c r="D270" s="189">
        <v>550437</v>
      </c>
      <c r="E270" s="199">
        <v>550437</v>
      </c>
      <c r="F270" s="188">
        <v>0</v>
      </c>
      <c r="G270" s="188">
        <v>5.3700000000000004E-4</v>
      </c>
      <c r="H270" s="188">
        <v>5.3700000000000004E-4</v>
      </c>
      <c r="I270" s="239"/>
    </row>
    <row r="271" spans="1:9" ht="13.75" x14ac:dyDescent="0.45">
      <c r="A271" s="244">
        <v>895</v>
      </c>
      <c r="B271" s="186" t="str">
        <f>'Employer Allocations'!A229</f>
        <v>Northern KY Cooperative for Educational Services</v>
      </c>
      <c r="C271" s="190">
        <v>0</v>
      </c>
      <c r="D271" s="190">
        <v>517167</v>
      </c>
      <c r="E271" s="190">
        <v>517167</v>
      </c>
      <c r="F271" s="191">
        <v>0</v>
      </c>
      <c r="G271" s="191">
        <v>5.04E-4</v>
      </c>
      <c r="H271" s="196">
        <v>5.04E-4</v>
      </c>
      <c r="I271" s="239"/>
    </row>
    <row r="272" spans="1:9" ht="13.75" x14ac:dyDescent="0.45">
      <c r="A272" s="244"/>
      <c r="B272" s="186"/>
      <c r="C272" s="190"/>
      <c r="D272" s="190"/>
      <c r="E272" s="190"/>
      <c r="F272" s="191"/>
      <c r="G272" s="196"/>
      <c r="H272" s="196"/>
      <c r="I272" s="239"/>
    </row>
    <row r="273" spans="1:9" ht="25.5" customHeight="1" x14ac:dyDescent="0.35">
      <c r="A273" s="245"/>
      <c r="B273" s="338" t="s">
        <v>711</v>
      </c>
      <c r="C273" s="187">
        <f>SUM(C59:C271)</f>
        <v>0</v>
      </c>
      <c r="D273" s="187">
        <f>SUM(D59:D271)</f>
        <v>1004703214</v>
      </c>
      <c r="E273" s="187">
        <f>C273+D273</f>
        <v>1004703214</v>
      </c>
      <c r="F273" s="195">
        <f>SUM(F59:F271)</f>
        <v>0</v>
      </c>
      <c r="G273" s="188">
        <f>SUM(G59:G271)</f>
        <v>0.9793770000000005</v>
      </c>
      <c r="H273" s="195">
        <f>SUM(H59:H271)</f>
        <v>0.9793770000000005</v>
      </c>
      <c r="I273" s="239"/>
    </row>
    <row r="274" spans="1:9" x14ac:dyDescent="0.35">
      <c r="A274" s="245"/>
      <c r="B274" s="186"/>
      <c r="C274" s="189"/>
      <c r="D274" s="193"/>
      <c r="E274" s="199"/>
      <c r="F274" s="195"/>
      <c r="G274" s="195"/>
      <c r="H274" s="195"/>
      <c r="I274" s="239"/>
    </row>
    <row r="275" spans="1:9" ht="13.75" x14ac:dyDescent="0.45">
      <c r="A275" s="245"/>
      <c r="B275" s="186" t="s">
        <v>712</v>
      </c>
      <c r="C275" s="346">
        <f>C32+C52+C273</f>
        <v>8744797</v>
      </c>
      <c r="D275" s="346">
        <f>D32+D52+D273</f>
        <v>1017116034</v>
      </c>
      <c r="E275" s="230">
        <f>C275+D275</f>
        <v>1025860831</v>
      </c>
      <c r="F275" s="325">
        <f>F32+F52+F273</f>
        <v>8.5240000000000021E-3</v>
      </c>
      <c r="G275" s="324">
        <f>G32+G52+G273</f>
        <v>0.99147600000000047</v>
      </c>
      <c r="H275" s="324">
        <f>H32+H52+H273</f>
        <v>1.0000000000000004</v>
      </c>
      <c r="I275" s="237"/>
    </row>
    <row r="276" spans="1:9" ht="15.45" x14ac:dyDescent="0.5">
      <c r="A276" s="257"/>
      <c r="B276" s="258"/>
      <c r="C276" s="259"/>
      <c r="D276" s="259"/>
      <c r="E276" s="259"/>
      <c r="F276" s="260"/>
      <c r="G276" s="260"/>
      <c r="H276" s="261"/>
      <c r="I276" s="235"/>
    </row>
    <row r="277" spans="1:9" ht="15" x14ac:dyDescent="0.45">
      <c r="B277" s="186" t="s">
        <v>716</v>
      </c>
      <c r="C277" s="337">
        <f>C18+C275</f>
        <v>33977717</v>
      </c>
      <c r="D277" s="337">
        <f>D18+D275</f>
        <v>1043653081</v>
      </c>
      <c r="E277" s="337">
        <f>E18+E275</f>
        <v>1077630798</v>
      </c>
      <c r="F277" s="235"/>
      <c r="G277" s="235"/>
      <c r="H277" s="235"/>
      <c r="I277" s="235"/>
    </row>
    <row r="278" spans="1:9" ht="14.15" x14ac:dyDescent="0.35">
      <c r="B278" s="235"/>
      <c r="C278" s="262"/>
      <c r="D278" s="235"/>
      <c r="E278" s="235"/>
      <c r="F278" s="235"/>
      <c r="G278" s="235"/>
      <c r="H278" s="235"/>
      <c r="I278" s="235"/>
    </row>
    <row r="279" spans="1:9" ht="14.15" x14ac:dyDescent="0.35">
      <c r="B279" s="235"/>
      <c r="C279" s="262"/>
      <c r="D279" s="235"/>
      <c r="E279" s="235"/>
      <c r="F279" s="235"/>
      <c r="G279" s="235"/>
      <c r="H279" s="235"/>
      <c r="I279" s="235"/>
    </row>
    <row r="280" spans="1:9" ht="14.15" x14ac:dyDescent="0.35">
      <c r="B280" s="235"/>
      <c r="C280" s="262"/>
      <c r="D280" s="235"/>
      <c r="E280" s="262"/>
      <c r="F280" s="235"/>
      <c r="G280" s="235"/>
      <c r="H280" s="235"/>
      <c r="I280" s="235"/>
    </row>
    <row r="281" spans="1:9" ht="14.15" x14ac:dyDescent="0.35">
      <c r="B281" s="235"/>
      <c r="C281" s="262"/>
      <c r="D281" s="235"/>
      <c r="E281" s="262"/>
      <c r="F281" s="235"/>
      <c r="G281" s="235"/>
      <c r="H281" s="235"/>
      <c r="I281" s="235"/>
    </row>
    <row r="282" spans="1:9" ht="14.15" x14ac:dyDescent="0.35">
      <c r="B282" s="235"/>
      <c r="C282" s="262"/>
      <c r="D282" s="235"/>
      <c r="E282" s="262"/>
      <c r="F282" s="235"/>
      <c r="G282" s="235"/>
      <c r="H282" s="235"/>
      <c r="I282" s="235"/>
    </row>
    <row r="283" spans="1:9" ht="14.15" x14ac:dyDescent="0.35">
      <c r="B283" s="235"/>
      <c r="C283" s="262"/>
      <c r="D283" s="235"/>
      <c r="E283" s="262"/>
      <c r="F283" s="235"/>
      <c r="G283" s="235"/>
      <c r="H283" s="235"/>
      <c r="I283" s="235"/>
    </row>
    <row r="284" spans="1:9" ht="14.15" x14ac:dyDescent="0.35">
      <c r="B284" s="235"/>
      <c r="C284" s="262"/>
      <c r="D284" s="235"/>
      <c r="E284" s="262"/>
      <c r="F284" s="235"/>
      <c r="G284" s="235"/>
      <c r="H284" s="235"/>
      <c r="I284" s="235"/>
    </row>
    <row r="285" spans="1:9" ht="14.15" x14ac:dyDescent="0.35">
      <c r="B285" s="235"/>
      <c r="C285" s="262"/>
      <c r="D285" s="235"/>
      <c r="E285" s="262"/>
      <c r="F285" s="235"/>
      <c r="G285" s="235"/>
      <c r="H285" s="235"/>
      <c r="I285" s="235"/>
    </row>
    <row r="286" spans="1:9" ht="14.15" x14ac:dyDescent="0.35">
      <c r="B286" s="235"/>
      <c r="C286" s="262"/>
      <c r="D286" s="235"/>
      <c r="E286" s="262"/>
      <c r="F286" s="235"/>
      <c r="G286" s="235"/>
      <c r="H286" s="235"/>
      <c r="I286" s="235"/>
    </row>
    <row r="287" spans="1:9" ht="14.15" x14ac:dyDescent="0.35">
      <c r="B287" s="235"/>
      <c r="C287" s="262"/>
      <c r="D287" s="235"/>
      <c r="E287" s="235"/>
      <c r="F287" s="235"/>
      <c r="G287" s="235"/>
      <c r="H287" s="235"/>
      <c r="I287" s="235"/>
    </row>
    <row r="288" spans="1:9" ht="14.15" x14ac:dyDescent="0.35">
      <c r="B288" s="235"/>
      <c r="C288" s="262"/>
      <c r="D288" s="235"/>
      <c r="E288" s="235"/>
      <c r="F288" s="235"/>
      <c r="G288" s="235"/>
      <c r="H288" s="235"/>
      <c r="I288" s="235"/>
    </row>
    <row r="289" spans="2:9" ht="14.15" x14ac:dyDescent="0.35">
      <c r="B289" s="235"/>
      <c r="C289" s="262"/>
      <c r="D289" s="235"/>
      <c r="E289" s="235"/>
      <c r="F289" s="235"/>
      <c r="G289" s="235"/>
      <c r="H289" s="235"/>
      <c r="I289" s="235"/>
    </row>
    <row r="290" spans="2:9" ht="14.15" x14ac:dyDescent="0.35">
      <c r="B290" s="262"/>
      <c r="C290" s="262"/>
      <c r="D290" s="235"/>
      <c r="E290" s="235"/>
      <c r="F290" s="235"/>
      <c r="G290" s="235"/>
      <c r="H290" s="235"/>
      <c r="I290" s="235"/>
    </row>
    <row r="291" spans="2:9" ht="14.15" x14ac:dyDescent="0.35">
      <c r="B291" s="235"/>
      <c r="C291" s="263"/>
      <c r="D291" s="235"/>
      <c r="E291" s="235"/>
      <c r="F291" s="235"/>
      <c r="G291" s="235"/>
      <c r="H291" s="235"/>
      <c r="I291" s="235"/>
    </row>
    <row r="292" spans="2:9" ht="14.15" x14ac:dyDescent="0.35">
      <c r="B292" s="235"/>
      <c r="C292" s="262"/>
      <c r="D292" s="235"/>
      <c r="E292" s="235"/>
      <c r="F292" s="235"/>
      <c r="G292" s="235"/>
      <c r="H292" s="235"/>
      <c r="I292" s="235"/>
    </row>
    <row r="293" spans="2:9" ht="14.15" x14ac:dyDescent="0.35">
      <c r="B293" s="235"/>
      <c r="C293" s="262"/>
      <c r="D293" s="235"/>
      <c r="E293" s="235"/>
      <c r="F293" s="235"/>
      <c r="G293" s="235"/>
      <c r="H293" s="235"/>
      <c r="I293" s="235"/>
    </row>
    <row r="294" spans="2:9" ht="14.15" x14ac:dyDescent="0.35">
      <c r="B294" s="235"/>
      <c r="C294" s="262"/>
      <c r="D294" s="235"/>
      <c r="E294" s="235"/>
      <c r="F294" s="235"/>
      <c r="G294" s="235"/>
      <c r="H294" s="235"/>
      <c r="I294" s="235"/>
    </row>
    <row r="295" spans="2:9" ht="14.15" x14ac:dyDescent="0.35">
      <c r="B295" s="235"/>
      <c r="C295" s="262"/>
      <c r="D295" s="235"/>
      <c r="E295" s="235"/>
      <c r="F295" s="235"/>
      <c r="G295" s="235"/>
      <c r="H295" s="235"/>
      <c r="I295" s="235"/>
    </row>
    <row r="296" spans="2:9" ht="14.15" x14ac:dyDescent="0.35">
      <c r="B296" s="235"/>
      <c r="C296" s="262"/>
      <c r="D296" s="235"/>
      <c r="E296" s="235"/>
      <c r="F296" s="235"/>
      <c r="G296" s="235"/>
      <c r="H296" s="235"/>
      <c r="I296" s="235"/>
    </row>
    <row r="297" spans="2:9" ht="14.15" x14ac:dyDescent="0.35">
      <c r="B297" s="235"/>
      <c r="C297" s="262"/>
      <c r="D297" s="235"/>
      <c r="E297" s="235"/>
      <c r="F297" s="235"/>
      <c r="G297" s="235"/>
      <c r="H297" s="235"/>
      <c r="I297" s="235"/>
    </row>
    <row r="298" spans="2:9" ht="14.15" x14ac:dyDescent="0.35">
      <c r="B298" s="235"/>
      <c r="C298" s="262"/>
      <c r="D298" s="235"/>
      <c r="E298" s="235"/>
      <c r="F298" s="235"/>
      <c r="G298" s="235"/>
      <c r="H298" s="235"/>
      <c r="I298" s="235"/>
    </row>
    <row r="299" spans="2:9" ht="14.15" x14ac:dyDescent="0.35">
      <c r="B299" s="235"/>
      <c r="C299" s="262"/>
      <c r="D299" s="235"/>
      <c r="E299" s="235"/>
      <c r="F299" s="235"/>
      <c r="G299" s="235"/>
      <c r="H299" s="235"/>
      <c r="I299" s="235"/>
    </row>
    <row r="300" spans="2:9" ht="14.15" x14ac:dyDescent="0.35">
      <c r="B300" s="235"/>
      <c r="C300" s="262"/>
      <c r="D300" s="235"/>
      <c r="E300" s="235"/>
      <c r="F300" s="235"/>
      <c r="G300" s="235"/>
      <c r="H300" s="235"/>
      <c r="I300" s="235"/>
    </row>
    <row r="301" spans="2:9" ht="14.15" x14ac:dyDescent="0.35">
      <c r="B301" s="235"/>
      <c r="C301" s="262"/>
      <c r="D301" s="235"/>
      <c r="E301" s="235"/>
      <c r="F301" s="235"/>
      <c r="G301" s="235"/>
      <c r="H301" s="235"/>
      <c r="I301" s="235"/>
    </row>
    <row r="302" spans="2:9" ht="14.15" x14ac:dyDescent="0.35">
      <c r="B302" s="235"/>
      <c r="C302" s="262"/>
      <c r="D302" s="235"/>
      <c r="E302" s="235"/>
      <c r="F302" s="235"/>
      <c r="G302" s="235"/>
      <c r="H302" s="235"/>
      <c r="I302" s="235"/>
    </row>
    <row r="303" spans="2:9" ht="14.15" x14ac:dyDescent="0.35">
      <c r="B303" s="235"/>
      <c r="C303" s="262"/>
      <c r="D303" s="235"/>
      <c r="E303" s="235"/>
      <c r="F303" s="235"/>
      <c r="G303" s="235"/>
      <c r="H303" s="235"/>
      <c r="I303" s="235"/>
    </row>
    <row r="304" spans="2:9" ht="14.15" x14ac:dyDescent="0.35">
      <c r="B304" s="235"/>
      <c r="C304" s="262"/>
      <c r="D304" s="235"/>
      <c r="E304" s="235"/>
      <c r="F304" s="235"/>
      <c r="G304" s="235"/>
      <c r="H304" s="235"/>
      <c r="I304" s="235"/>
    </row>
    <row r="305" spans="2:9" ht="14.15" x14ac:dyDescent="0.35">
      <c r="B305" s="235"/>
      <c r="C305" s="262"/>
      <c r="D305" s="235"/>
      <c r="E305" s="235"/>
      <c r="F305" s="235"/>
      <c r="G305" s="235"/>
      <c r="H305" s="235"/>
      <c r="I305" s="235"/>
    </row>
    <row r="306" spans="2:9" ht="14.15" x14ac:dyDescent="0.35">
      <c r="B306" s="235"/>
      <c r="C306" s="262"/>
      <c r="D306" s="235"/>
      <c r="E306" s="235"/>
      <c r="F306" s="235"/>
      <c r="G306" s="235"/>
      <c r="H306" s="235"/>
      <c r="I306" s="235"/>
    </row>
    <row r="307" spans="2:9" ht="14.15" x14ac:dyDescent="0.35">
      <c r="B307" s="235"/>
      <c r="C307" s="262"/>
      <c r="D307" s="235"/>
      <c r="E307" s="235"/>
      <c r="F307" s="235"/>
      <c r="G307" s="235"/>
      <c r="H307" s="235"/>
      <c r="I307" s="235"/>
    </row>
    <row r="308" spans="2:9" ht="14.15" x14ac:dyDescent="0.35">
      <c r="B308" s="235"/>
      <c r="C308" s="262"/>
      <c r="D308" s="235"/>
      <c r="E308" s="235"/>
      <c r="F308" s="235"/>
      <c r="G308" s="235"/>
      <c r="H308" s="235"/>
      <c r="I308" s="235"/>
    </row>
    <row r="309" spans="2:9" ht="14.15" x14ac:dyDescent="0.35">
      <c r="B309" s="235"/>
      <c r="C309" s="262"/>
      <c r="D309" s="235"/>
      <c r="E309" s="235"/>
      <c r="F309" s="235"/>
      <c r="G309" s="235"/>
      <c r="H309" s="235"/>
      <c r="I309" s="235"/>
    </row>
    <row r="310" spans="2:9" ht="14.15" x14ac:dyDescent="0.35">
      <c r="B310" s="235"/>
      <c r="C310" s="262"/>
      <c r="D310" s="235"/>
      <c r="E310" s="235"/>
      <c r="F310" s="235"/>
      <c r="G310" s="235"/>
      <c r="H310" s="235"/>
      <c r="I310" s="235"/>
    </row>
    <row r="311" spans="2:9" ht="14.15" x14ac:dyDescent="0.35">
      <c r="B311" s="235"/>
      <c r="C311" s="262"/>
      <c r="D311" s="235"/>
      <c r="E311" s="235"/>
      <c r="F311" s="235"/>
      <c r="G311" s="235"/>
      <c r="H311" s="235"/>
      <c r="I311" s="235"/>
    </row>
    <row r="312" spans="2:9" ht="14.15" x14ac:dyDescent="0.35">
      <c r="B312" s="235"/>
      <c r="C312" s="262"/>
      <c r="D312" s="235"/>
      <c r="E312" s="235"/>
      <c r="F312" s="235"/>
      <c r="G312" s="235"/>
      <c r="H312" s="235"/>
      <c r="I312" s="235"/>
    </row>
    <row r="313" spans="2:9" ht="14.15" x14ac:dyDescent="0.35">
      <c r="B313" s="235"/>
      <c r="C313" s="262"/>
      <c r="D313" s="235"/>
      <c r="E313" s="235"/>
      <c r="F313" s="235"/>
      <c r="G313" s="235"/>
      <c r="H313" s="235"/>
      <c r="I313" s="235"/>
    </row>
    <row r="314" spans="2:9" ht="14.15" x14ac:dyDescent="0.35">
      <c r="B314" s="235"/>
      <c r="C314" s="262"/>
      <c r="D314" s="235"/>
      <c r="E314" s="235"/>
      <c r="F314" s="235"/>
      <c r="G314" s="235"/>
      <c r="H314" s="235"/>
      <c r="I314" s="235"/>
    </row>
    <row r="315" spans="2:9" ht="14.15" x14ac:dyDescent="0.35">
      <c r="B315" s="235"/>
      <c r="C315" s="262"/>
      <c r="D315" s="235"/>
      <c r="E315" s="235"/>
      <c r="F315" s="235"/>
      <c r="G315" s="235"/>
      <c r="H315" s="235"/>
      <c r="I315" s="235"/>
    </row>
    <row r="316" spans="2:9" ht="14.15" x14ac:dyDescent="0.35">
      <c r="B316" s="235"/>
      <c r="C316" s="262"/>
      <c r="D316" s="235"/>
      <c r="E316" s="235"/>
      <c r="F316" s="235"/>
      <c r="G316" s="235"/>
      <c r="H316" s="235"/>
      <c r="I316" s="235"/>
    </row>
    <row r="317" spans="2:9" ht="14.15" x14ac:dyDescent="0.35">
      <c r="B317" s="235"/>
      <c r="C317" s="262"/>
      <c r="D317" s="235"/>
      <c r="E317" s="235"/>
      <c r="F317" s="235"/>
      <c r="G317" s="235"/>
      <c r="H317" s="235"/>
      <c r="I317" s="235"/>
    </row>
    <row r="318" spans="2:9" ht="14.15" x14ac:dyDescent="0.35">
      <c r="B318" s="235"/>
      <c r="C318" s="262"/>
      <c r="D318" s="235"/>
      <c r="E318" s="235"/>
      <c r="F318" s="235"/>
      <c r="G318" s="235"/>
      <c r="H318" s="235"/>
      <c r="I318" s="235"/>
    </row>
    <row r="319" spans="2:9" ht="14.15" x14ac:dyDescent="0.35">
      <c r="B319" s="235"/>
      <c r="C319" s="262"/>
      <c r="D319" s="235"/>
      <c r="E319" s="235"/>
      <c r="F319" s="235"/>
      <c r="G319" s="235"/>
      <c r="H319" s="235"/>
      <c r="I319" s="235"/>
    </row>
    <row r="320" spans="2:9" ht="14.15" x14ac:dyDescent="0.35">
      <c r="B320" s="235"/>
      <c r="C320" s="262"/>
      <c r="D320" s="235"/>
      <c r="E320" s="235"/>
      <c r="F320" s="235"/>
      <c r="G320" s="235"/>
      <c r="H320" s="235"/>
      <c r="I320" s="235"/>
    </row>
    <row r="321" spans="2:9" ht="14.15" x14ac:dyDescent="0.35">
      <c r="B321" s="235"/>
      <c r="C321" s="262"/>
      <c r="D321" s="235"/>
      <c r="E321" s="235"/>
      <c r="F321" s="235"/>
      <c r="G321" s="235"/>
      <c r="H321" s="235"/>
      <c r="I321" s="235"/>
    </row>
    <row r="322" spans="2:9" ht="14.15" x14ac:dyDescent="0.35">
      <c r="B322" s="235"/>
      <c r="C322" s="262"/>
      <c r="D322" s="235"/>
      <c r="E322" s="235"/>
      <c r="F322" s="235"/>
      <c r="G322" s="235"/>
      <c r="H322" s="235"/>
      <c r="I322" s="235"/>
    </row>
    <row r="323" spans="2:9" ht="14.15" x14ac:dyDescent="0.35">
      <c r="B323" s="235"/>
      <c r="C323" s="262"/>
      <c r="D323" s="235"/>
      <c r="E323" s="235"/>
      <c r="F323" s="235"/>
      <c r="G323" s="235"/>
      <c r="H323" s="235"/>
      <c r="I323" s="235"/>
    </row>
    <row r="324" spans="2:9" ht="14.15" x14ac:dyDescent="0.35">
      <c r="B324" s="235"/>
      <c r="C324" s="262"/>
      <c r="D324" s="235"/>
      <c r="E324" s="235"/>
      <c r="F324" s="235"/>
      <c r="G324" s="235"/>
      <c r="H324" s="235"/>
      <c r="I324" s="235"/>
    </row>
    <row r="325" spans="2:9" ht="14.15" x14ac:dyDescent="0.35">
      <c r="B325" s="235"/>
      <c r="C325" s="262"/>
      <c r="D325" s="235"/>
      <c r="E325" s="235"/>
      <c r="F325" s="235"/>
      <c r="G325" s="235"/>
      <c r="H325" s="235"/>
      <c r="I325" s="235"/>
    </row>
    <row r="326" spans="2:9" ht="14.15" x14ac:dyDescent="0.35">
      <c r="B326" s="235"/>
      <c r="C326" s="262"/>
      <c r="D326" s="235"/>
      <c r="E326" s="235"/>
      <c r="F326" s="235"/>
      <c r="G326" s="235"/>
      <c r="H326" s="235"/>
      <c r="I326" s="235"/>
    </row>
    <row r="327" spans="2:9" ht="14.15" x14ac:dyDescent="0.35">
      <c r="B327" s="235"/>
      <c r="C327" s="262"/>
      <c r="D327" s="235"/>
      <c r="E327" s="235"/>
      <c r="F327" s="235"/>
      <c r="G327" s="235"/>
      <c r="H327" s="235"/>
      <c r="I327" s="235"/>
    </row>
    <row r="328" spans="2:9" ht="14.15" x14ac:dyDescent="0.35">
      <c r="B328" s="235"/>
      <c r="C328" s="262"/>
      <c r="D328" s="235"/>
      <c r="E328" s="235"/>
      <c r="F328" s="235"/>
      <c r="G328" s="235"/>
      <c r="H328" s="235"/>
      <c r="I328" s="235"/>
    </row>
    <row r="329" spans="2:9" ht="14.15" x14ac:dyDescent="0.35">
      <c r="B329" s="235"/>
      <c r="C329" s="262"/>
      <c r="D329" s="235"/>
      <c r="E329" s="235"/>
      <c r="F329" s="235"/>
      <c r="G329" s="235"/>
      <c r="H329" s="235"/>
      <c r="I329" s="235"/>
    </row>
    <row r="330" spans="2:9" ht="14.15" x14ac:dyDescent="0.35">
      <c r="B330" s="235"/>
      <c r="C330" s="262"/>
      <c r="D330" s="235"/>
      <c r="E330" s="235"/>
      <c r="F330" s="235"/>
      <c r="G330" s="235"/>
      <c r="H330" s="235"/>
      <c r="I330" s="235"/>
    </row>
    <row r="331" spans="2:9" ht="14.15" x14ac:dyDescent="0.35">
      <c r="B331" s="235"/>
      <c r="C331" s="262"/>
      <c r="D331" s="235"/>
      <c r="E331" s="235"/>
      <c r="F331" s="235"/>
      <c r="G331" s="235"/>
      <c r="H331" s="235"/>
      <c r="I331" s="235"/>
    </row>
    <row r="332" spans="2:9" ht="14.15" x14ac:dyDescent="0.35">
      <c r="B332" s="235"/>
      <c r="C332" s="262"/>
      <c r="D332" s="235"/>
      <c r="E332" s="235"/>
      <c r="F332" s="235"/>
      <c r="G332" s="235"/>
      <c r="H332" s="235"/>
      <c r="I332" s="235"/>
    </row>
    <row r="333" spans="2:9" ht="14.15" x14ac:dyDescent="0.35">
      <c r="B333" s="235"/>
      <c r="C333" s="262"/>
      <c r="D333" s="235"/>
      <c r="E333" s="235"/>
      <c r="F333" s="235"/>
      <c r="G333" s="235"/>
      <c r="H333" s="235"/>
      <c r="I333" s="235"/>
    </row>
    <row r="334" spans="2:9" ht="14.15" x14ac:dyDescent="0.35">
      <c r="B334" s="235"/>
      <c r="C334" s="262"/>
      <c r="D334" s="235"/>
      <c r="E334" s="235"/>
      <c r="F334" s="235"/>
      <c r="G334" s="235"/>
      <c r="H334" s="235"/>
      <c r="I334" s="235"/>
    </row>
    <row r="335" spans="2:9" ht="14.15" x14ac:dyDescent="0.35">
      <c r="B335" s="235"/>
      <c r="C335" s="262"/>
      <c r="D335" s="235"/>
      <c r="E335" s="235"/>
      <c r="F335" s="235"/>
      <c r="G335" s="235"/>
      <c r="H335" s="235"/>
      <c r="I335" s="235"/>
    </row>
    <row r="336" spans="2:9" ht="14.15" x14ac:dyDescent="0.35">
      <c r="B336" s="235"/>
      <c r="C336" s="262"/>
      <c r="D336" s="235"/>
      <c r="E336" s="235"/>
      <c r="F336" s="235"/>
      <c r="G336" s="235"/>
      <c r="H336" s="235"/>
      <c r="I336" s="235"/>
    </row>
    <row r="337" spans="2:9" ht="14.15" x14ac:dyDescent="0.35">
      <c r="B337" s="235"/>
      <c r="C337" s="262"/>
      <c r="D337" s="235"/>
      <c r="E337" s="235"/>
      <c r="F337" s="235"/>
      <c r="G337" s="235"/>
      <c r="H337" s="235"/>
      <c r="I337" s="235"/>
    </row>
    <row r="338" spans="2:9" ht="14.15" x14ac:dyDescent="0.35">
      <c r="B338" s="235"/>
      <c r="C338" s="262"/>
      <c r="D338" s="235"/>
      <c r="E338" s="235"/>
      <c r="F338" s="235"/>
      <c r="G338" s="235"/>
      <c r="H338" s="235"/>
      <c r="I338" s="235"/>
    </row>
    <row r="339" spans="2:9" ht="14.15" x14ac:dyDescent="0.35">
      <c r="B339" s="235"/>
      <c r="C339" s="262"/>
      <c r="D339" s="235"/>
      <c r="E339" s="235"/>
      <c r="F339" s="235"/>
      <c r="G339" s="235"/>
      <c r="H339" s="235"/>
      <c r="I339" s="235"/>
    </row>
    <row r="340" spans="2:9" ht="14.15" x14ac:dyDescent="0.35">
      <c r="B340" s="235"/>
      <c r="C340" s="262"/>
      <c r="D340" s="235"/>
      <c r="E340" s="235"/>
      <c r="F340" s="235"/>
      <c r="G340" s="235"/>
      <c r="H340" s="235"/>
      <c r="I340" s="235"/>
    </row>
    <row r="341" spans="2:9" ht="14.15" x14ac:dyDescent="0.35">
      <c r="B341" s="235"/>
      <c r="C341" s="262"/>
      <c r="D341" s="235"/>
      <c r="E341" s="235"/>
      <c r="F341" s="235"/>
      <c r="G341" s="235"/>
      <c r="H341" s="235"/>
      <c r="I341" s="235"/>
    </row>
    <row r="342" spans="2:9" ht="14.15" x14ac:dyDescent="0.35">
      <c r="B342" s="235"/>
      <c r="C342" s="262"/>
      <c r="D342" s="235"/>
      <c r="E342" s="235"/>
      <c r="F342" s="235"/>
      <c r="G342" s="235"/>
      <c r="H342" s="235"/>
      <c r="I342" s="235"/>
    </row>
    <row r="343" spans="2:9" ht="14.15" x14ac:dyDescent="0.35">
      <c r="B343" s="235"/>
      <c r="C343" s="262"/>
      <c r="D343" s="235"/>
      <c r="E343" s="235"/>
      <c r="F343" s="235"/>
      <c r="G343" s="235"/>
      <c r="H343" s="235"/>
      <c r="I343" s="235"/>
    </row>
    <row r="344" spans="2:9" ht="14.15" x14ac:dyDescent="0.35">
      <c r="B344" s="235"/>
      <c r="C344" s="262"/>
      <c r="D344" s="235"/>
      <c r="E344" s="235"/>
      <c r="F344" s="235"/>
      <c r="G344" s="235"/>
      <c r="H344" s="235"/>
      <c r="I344" s="235"/>
    </row>
    <row r="345" spans="2:9" ht="14.15" x14ac:dyDescent="0.35">
      <c r="B345" s="235"/>
      <c r="C345" s="262"/>
      <c r="D345" s="235"/>
      <c r="E345" s="235"/>
      <c r="F345" s="235"/>
      <c r="G345" s="235"/>
      <c r="H345" s="235"/>
      <c r="I345" s="235"/>
    </row>
    <row r="346" spans="2:9" ht="14.15" x14ac:dyDescent="0.35">
      <c r="B346" s="235"/>
      <c r="C346" s="262"/>
      <c r="D346" s="235"/>
      <c r="E346" s="235"/>
      <c r="F346" s="235"/>
      <c r="G346" s="235"/>
      <c r="H346" s="235"/>
      <c r="I346" s="235"/>
    </row>
    <row r="347" spans="2:9" ht="14.15" x14ac:dyDescent="0.35">
      <c r="B347" s="235"/>
      <c r="C347" s="262"/>
      <c r="D347" s="235"/>
      <c r="E347" s="235"/>
      <c r="F347" s="235"/>
      <c r="G347" s="235"/>
      <c r="H347" s="235"/>
      <c r="I347" s="235"/>
    </row>
    <row r="348" spans="2:9" ht="14.15" x14ac:dyDescent="0.35">
      <c r="B348" s="235"/>
      <c r="C348" s="262"/>
      <c r="D348" s="235"/>
      <c r="E348" s="235"/>
      <c r="F348" s="235"/>
      <c r="G348" s="235"/>
      <c r="H348" s="235"/>
      <c r="I348" s="235"/>
    </row>
    <row r="349" spans="2:9" ht="14.15" x14ac:dyDescent="0.35">
      <c r="B349" s="235"/>
      <c r="C349" s="262"/>
      <c r="D349" s="235"/>
      <c r="E349" s="235"/>
      <c r="F349" s="235"/>
      <c r="G349" s="235"/>
      <c r="H349" s="235"/>
      <c r="I349" s="235"/>
    </row>
    <row r="350" spans="2:9" ht="14.15" x14ac:dyDescent="0.35">
      <c r="B350" s="235"/>
      <c r="C350" s="262"/>
      <c r="D350" s="235"/>
      <c r="E350" s="235"/>
      <c r="F350" s="235"/>
      <c r="G350" s="235"/>
      <c r="H350" s="235"/>
      <c r="I350" s="235"/>
    </row>
    <row r="351" spans="2:9" ht="14.15" x14ac:dyDescent="0.35">
      <c r="B351" s="235"/>
      <c r="C351" s="262"/>
      <c r="D351" s="235"/>
      <c r="E351" s="235"/>
      <c r="F351" s="235"/>
      <c r="G351" s="235"/>
      <c r="H351" s="235"/>
      <c r="I351" s="235"/>
    </row>
    <row r="352" spans="2:9" ht="14.15" x14ac:dyDescent="0.35">
      <c r="B352" s="235"/>
      <c r="C352" s="262"/>
      <c r="D352" s="235"/>
      <c r="E352" s="235"/>
      <c r="F352" s="235"/>
      <c r="G352" s="235"/>
      <c r="H352" s="235"/>
      <c r="I352" s="235"/>
    </row>
    <row r="353" spans="2:9" ht="14.15" x14ac:dyDescent="0.35">
      <c r="B353" s="235"/>
      <c r="C353" s="262"/>
      <c r="D353" s="235"/>
      <c r="E353" s="235"/>
      <c r="F353" s="235"/>
      <c r="G353" s="235"/>
      <c r="H353" s="235"/>
      <c r="I353" s="235"/>
    </row>
    <row r="354" spans="2:9" ht="14.15" x14ac:dyDescent="0.35">
      <c r="B354" s="235"/>
      <c r="C354" s="262"/>
      <c r="D354" s="235"/>
      <c r="E354" s="235"/>
      <c r="F354" s="235"/>
      <c r="G354" s="235"/>
      <c r="H354" s="235"/>
      <c r="I354" s="235"/>
    </row>
    <row r="355" spans="2:9" ht="14.15" x14ac:dyDescent="0.35">
      <c r="B355" s="235"/>
      <c r="C355" s="262"/>
      <c r="D355" s="235"/>
      <c r="E355" s="235"/>
      <c r="F355" s="235"/>
      <c r="G355" s="235"/>
      <c r="H355" s="235"/>
      <c r="I355" s="235"/>
    </row>
    <row r="356" spans="2:9" ht="14.15" x14ac:dyDescent="0.35">
      <c r="B356" s="235"/>
      <c r="C356" s="262"/>
      <c r="D356" s="235"/>
      <c r="E356" s="235"/>
      <c r="F356" s="235"/>
      <c r="G356" s="235"/>
      <c r="H356" s="235"/>
      <c r="I356" s="235"/>
    </row>
    <row r="357" spans="2:9" ht="14.15" x14ac:dyDescent="0.35">
      <c r="B357" s="235"/>
      <c r="C357" s="262"/>
      <c r="D357" s="235"/>
      <c r="E357" s="235"/>
      <c r="F357" s="235"/>
      <c r="G357" s="235"/>
      <c r="H357" s="235"/>
      <c r="I357" s="235"/>
    </row>
    <row r="358" spans="2:9" ht="14.15" x14ac:dyDescent="0.35">
      <c r="B358" s="235"/>
      <c r="C358" s="262"/>
      <c r="D358" s="235"/>
      <c r="E358" s="235"/>
      <c r="F358" s="235"/>
      <c r="G358" s="235"/>
      <c r="H358" s="235"/>
      <c r="I358" s="235"/>
    </row>
    <row r="359" spans="2:9" ht="14.15" x14ac:dyDescent="0.35">
      <c r="B359" s="235"/>
      <c r="C359" s="262"/>
      <c r="D359" s="235"/>
      <c r="E359" s="235"/>
      <c r="F359" s="235"/>
      <c r="G359" s="235"/>
      <c r="H359" s="235"/>
      <c r="I359" s="235"/>
    </row>
    <row r="360" spans="2:9" ht="14.15" x14ac:dyDescent="0.35">
      <c r="B360" s="235"/>
      <c r="C360" s="262"/>
      <c r="D360" s="235"/>
      <c r="E360" s="235"/>
      <c r="F360" s="235"/>
      <c r="G360" s="235"/>
      <c r="H360" s="235"/>
      <c r="I360" s="235"/>
    </row>
    <row r="361" spans="2:9" ht="14.15" x14ac:dyDescent="0.35">
      <c r="B361" s="235"/>
      <c r="C361" s="262"/>
      <c r="D361" s="235"/>
      <c r="E361" s="235"/>
      <c r="F361" s="235"/>
      <c r="G361" s="235"/>
      <c r="H361" s="235"/>
      <c r="I361" s="235"/>
    </row>
    <row r="362" spans="2:9" ht="14.15" x14ac:dyDescent="0.35">
      <c r="B362" s="235"/>
      <c r="C362" s="262"/>
      <c r="D362" s="235"/>
      <c r="E362" s="235"/>
      <c r="F362" s="235"/>
      <c r="G362" s="235"/>
      <c r="H362" s="235"/>
      <c r="I362" s="235"/>
    </row>
    <row r="363" spans="2:9" ht="14.15" x14ac:dyDescent="0.35">
      <c r="B363" s="235"/>
      <c r="C363" s="262"/>
      <c r="D363" s="235"/>
      <c r="E363" s="235"/>
      <c r="F363" s="235"/>
      <c r="G363" s="235"/>
      <c r="H363" s="235"/>
      <c r="I363" s="235"/>
    </row>
    <row r="364" spans="2:9" ht="14.15" x14ac:dyDescent="0.35">
      <c r="B364" s="235"/>
      <c r="C364" s="262"/>
      <c r="D364" s="235"/>
      <c r="E364" s="235"/>
      <c r="F364" s="235"/>
      <c r="G364" s="235"/>
      <c r="H364" s="235"/>
      <c r="I364" s="235"/>
    </row>
    <row r="365" spans="2:9" ht="14.15" x14ac:dyDescent="0.35">
      <c r="B365" s="235"/>
      <c r="C365" s="262"/>
      <c r="D365" s="235"/>
      <c r="E365" s="235"/>
      <c r="F365" s="235"/>
      <c r="G365" s="235"/>
      <c r="H365" s="235"/>
      <c r="I365" s="235"/>
    </row>
    <row r="366" spans="2:9" ht="14.15" x14ac:dyDescent="0.35">
      <c r="B366" s="235"/>
      <c r="C366" s="262"/>
      <c r="D366" s="235"/>
      <c r="E366" s="235"/>
      <c r="F366" s="235"/>
      <c r="G366" s="235"/>
      <c r="H366" s="235"/>
      <c r="I366" s="235"/>
    </row>
    <row r="367" spans="2:9" ht="14.15" x14ac:dyDescent="0.35">
      <c r="B367" s="235"/>
      <c r="C367" s="262"/>
      <c r="D367" s="235"/>
      <c r="E367" s="235"/>
      <c r="F367" s="235"/>
      <c r="G367" s="235"/>
      <c r="H367" s="235"/>
      <c r="I367" s="235"/>
    </row>
    <row r="368" spans="2:9" ht="14.15" x14ac:dyDescent="0.35">
      <c r="B368" s="235"/>
      <c r="C368" s="262"/>
      <c r="D368" s="235"/>
      <c r="E368" s="235"/>
      <c r="F368" s="235"/>
      <c r="G368" s="235"/>
      <c r="H368" s="235"/>
      <c r="I368" s="235"/>
    </row>
    <row r="369" spans="2:9" ht="14.15" x14ac:dyDescent="0.35">
      <c r="B369" s="235"/>
      <c r="C369" s="262"/>
      <c r="D369" s="235"/>
      <c r="E369" s="235"/>
      <c r="F369" s="235"/>
      <c r="G369" s="235"/>
      <c r="H369" s="235"/>
      <c r="I369" s="235"/>
    </row>
    <row r="370" spans="2:9" ht="14.15" x14ac:dyDescent="0.35">
      <c r="B370" s="235"/>
      <c r="C370" s="262"/>
      <c r="D370" s="235"/>
      <c r="E370" s="235"/>
      <c r="F370" s="235"/>
      <c r="G370" s="235"/>
      <c r="H370" s="235"/>
      <c r="I370" s="235"/>
    </row>
    <row r="371" spans="2:9" ht="14.15" x14ac:dyDescent="0.35">
      <c r="B371" s="235"/>
      <c r="C371" s="262"/>
      <c r="D371" s="235"/>
      <c r="E371" s="235"/>
      <c r="F371" s="235"/>
      <c r="G371" s="235"/>
      <c r="H371" s="235"/>
      <c r="I371" s="235"/>
    </row>
    <row r="372" spans="2:9" ht="14.15" x14ac:dyDescent="0.35">
      <c r="B372" s="235"/>
      <c r="C372" s="262"/>
      <c r="D372" s="235"/>
      <c r="E372" s="235"/>
      <c r="F372" s="235"/>
      <c r="G372" s="235"/>
      <c r="H372" s="235"/>
      <c r="I372" s="235"/>
    </row>
  </sheetData>
  <pageMargins left="0.7" right="0.7" top="0.5" bottom="0.5" header="0.3" footer="0.3"/>
  <pageSetup scale="90" fitToHeight="0" orientation="landscape" r:id="rId1"/>
  <rowBreaks count="8" manualBreakCount="8">
    <brk id="35" max="7" man="1"/>
    <brk id="55" max="7" man="1"/>
    <brk id="92" max="7" man="1"/>
    <brk id="126" max="7" man="1"/>
    <brk id="160" max="7" man="1"/>
    <brk id="194" max="7" man="1"/>
    <brk id="228" max="7" man="1"/>
    <brk id="261" max="7" man="1"/>
  </rowBreaks>
  <ignoredErrors>
    <ignoredError sqref="E273 E275 E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D559"/>
  <sheetViews>
    <sheetView showGridLines="0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D15" sqref="D15"/>
    </sheetView>
  </sheetViews>
  <sheetFormatPr defaultColWidth="9.15234375" defaultRowHeight="10.75" x14ac:dyDescent="0.3"/>
  <cols>
    <col min="1" max="1" width="0.69140625" style="201" customWidth="1"/>
    <col min="2" max="2" width="5.23046875" style="201" customWidth="1"/>
    <col min="3" max="3" width="37.61328125" style="201" customWidth="1"/>
    <col min="4" max="4" width="12.84375" style="201" bestFit="1" customWidth="1"/>
    <col min="5" max="6" width="14.23046875" style="201" bestFit="1" customWidth="1"/>
    <col min="7" max="7" width="13" style="201" customWidth="1"/>
    <col min="8" max="8" width="10.53515625" style="201" customWidth="1"/>
    <col min="9" max="9" width="14" style="201" bestFit="1" customWidth="1"/>
    <col min="10" max="10" width="15.23046875" style="201" bestFit="1" customWidth="1"/>
    <col min="11" max="11" width="14" style="201" bestFit="1" customWidth="1"/>
    <col min="12" max="13" width="14" style="201" hidden="1" customWidth="1"/>
    <col min="14" max="14" width="12.15234375" style="201" bestFit="1" customWidth="1"/>
    <col min="15" max="15" width="14.69140625" style="201" bestFit="1" customWidth="1"/>
    <col min="16" max="16" width="12.84375" style="201" customWidth="1"/>
    <col min="17" max="17" width="15.23046875" style="201" bestFit="1" customWidth="1"/>
    <col min="18" max="18" width="14.23046875" style="201" bestFit="1" customWidth="1"/>
    <col min="19" max="19" width="12" style="201" bestFit="1" customWidth="1"/>
    <col min="20" max="21" width="14.15234375" style="201" bestFit="1" customWidth="1"/>
    <col min="22" max="22" width="15.84375" style="201" bestFit="1" customWidth="1"/>
    <col min="23" max="23" width="13.61328125" style="201" bestFit="1" customWidth="1"/>
    <col min="24" max="24" width="9.15234375" style="201" customWidth="1"/>
    <col min="25" max="27" width="9.15234375" style="201"/>
    <col min="28" max="28" width="12.07421875" style="201" bestFit="1" customWidth="1"/>
    <col min="29" max="16384" width="9.15234375" style="201"/>
  </cols>
  <sheetData>
    <row r="1" spans="2:24" x14ac:dyDescent="0.3">
      <c r="B1" s="200" t="s">
        <v>347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2"/>
    </row>
    <row r="2" spans="2:24" x14ac:dyDescent="0.3">
      <c r="B2" s="203" t="s">
        <v>732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2"/>
    </row>
    <row r="3" spans="2:24" ht="11.15" thickBot="1" x14ac:dyDescent="0.35"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2:24" x14ac:dyDescent="0.3">
      <c r="B4" s="264"/>
      <c r="C4" s="265"/>
      <c r="D4" s="264"/>
      <c r="E4" s="266"/>
      <c r="F4" s="282"/>
      <c r="G4" s="289"/>
      <c r="H4" s="267"/>
      <c r="I4" s="268" t="s">
        <v>348</v>
      </c>
      <c r="J4" s="268"/>
      <c r="K4" s="269"/>
      <c r="L4" s="268"/>
      <c r="M4" s="268"/>
      <c r="N4" s="369" t="s">
        <v>349</v>
      </c>
      <c r="O4" s="370"/>
      <c r="P4" s="370"/>
      <c r="Q4" s="370"/>
      <c r="R4" s="371"/>
      <c r="S4" s="290"/>
      <c r="T4" s="270"/>
      <c r="U4" s="270"/>
      <c r="V4" s="270"/>
      <c r="W4" s="271"/>
      <c r="X4" s="202"/>
    </row>
    <row r="5" spans="2:24" x14ac:dyDescent="0.3">
      <c r="B5" s="272"/>
      <c r="C5" s="273"/>
      <c r="D5" s="272"/>
      <c r="E5" s="274"/>
      <c r="F5" s="275"/>
      <c r="G5" s="272"/>
      <c r="H5" s="274"/>
      <c r="I5" s="274"/>
      <c r="J5" s="274"/>
      <c r="K5" s="275"/>
      <c r="L5" s="274"/>
      <c r="M5" s="274"/>
      <c r="N5" s="272"/>
      <c r="O5" s="274"/>
      <c r="P5" s="274"/>
      <c r="Q5" s="274"/>
      <c r="R5" s="275"/>
      <c r="S5" s="272"/>
      <c r="T5" s="274"/>
      <c r="U5" s="274"/>
      <c r="V5" s="276" t="s">
        <v>350</v>
      </c>
      <c r="W5" s="275"/>
      <c r="X5" s="202"/>
    </row>
    <row r="6" spans="2:24" x14ac:dyDescent="0.3">
      <c r="B6" s="272"/>
      <c r="C6" s="273"/>
      <c r="D6" s="272"/>
      <c r="E6" s="274"/>
      <c r="F6" s="275"/>
      <c r="G6" s="272"/>
      <c r="H6" s="274"/>
      <c r="I6" s="274"/>
      <c r="J6" s="276" t="s">
        <v>351</v>
      </c>
      <c r="K6" s="275"/>
      <c r="L6" s="274"/>
      <c r="M6" s="274"/>
      <c r="N6" s="272"/>
      <c r="O6" s="274"/>
      <c r="P6" s="274"/>
      <c r="Q6" s="276" t="s">
        <v>351</v>
      </c>
      <c r="R6" s="275"/>
      <c r="S6" s="272"/>
      <c r="T6" s="274"/>
      <c r="U6" s="274"/>
      <c r="V6" s="276" t="s">
        <v>352</v>
      </c>
      <c r="W6" s="275"/>
      <c r="X6" s="202"/>
    </row>
    <row r="7" spans="2:24" x14ac:dyDescent="0.3">
      <c r="B7" s="272"/>
      <c r="C7" s="273"/>
      <c r="D7" s="363">
        <v>44012</v>
      </c>
      <c r="E7" s="364"/>
      <c r="F7" s="365"/>
      <c r="G7" s="272"/>
      <c r="H7" s="276" t="s">
        <v>353</v>
      </c>
      <c r="I7" s="276"/>
      <c r="J7" s="276" t="s">
        <v>79</v>
      </c>
      <c r="K7" s="277"/>
      <c r="L7" s="276"/>
      <c r="M7" s="276"/>
      <c r="N7" s="285"/>
      <c r="O7" s="276"/>
      <c r="P7" s="276" t="s">
        <v>353</v>
      </c>
      <c r="Q7" s="276" t="s">
        <v>79</v>
      </c>
      <c r="R7" s="277"/>
      <c r="S7" s="272"/>
      <c r="T7" s="274"/>
      <c r="U7" s="276"/>
      <c r="V7" s="276" t="s">
        <v>79</v>
      </c>
      <c r="W7" s="275"/>
      <c r="X7" s="202"/>
    </row>
    <row r="8" spans="2:24" x14ac:dyDescent="0.3">
      <c r="B8" s="272"/>
      <c r="C8" s="273"/>
      <c r="D8" s="363"/>
      <c r="E8" s="364"/>
      <c r="F8" s="365"/>
      <c r="G8" s="272"/>
      <c r="H8" s="276" t="s">
        <v>354</v>
      </c>
      <c r="I8" s="276"/>
      <c r="J8" s="276" t="s">
        <v>355</v>
      </c>
      <c r="K8" s="277"/>
      <c r="L8" s="276"/>
      <c r="M8" s="276"/>
      <c r="N8" s="285"/>
      <c r="O8" s="276"/>
      <c r="P8" s="276" t="s">
        <v>354</v>
      </c>
      <c r="Q8" s="276" t="s">
        <v>355</v>
      </c>
      <c r="R8" s="277"/>
      <c r="S8" s="272"/>
      <c r="T8" s="274"/>
      <c r="U8" s="276"/>
      <c r="V8" s="276" t="s">
        <v>355</v>
      </c>
      <c r="W8" s="275"/>
      <c r="X8" s="202"/>
    </row>
    <row r="9" spans="2:24" ht="11.15" thickBot="1" x14ac:dyDescent="0.35">
      <c r="B9" s="272"/>
      <c r="C9" s="273"/>
      <c r="D9" s="366"/>
      <c r="E9" s="367"/>
      <c r="F9" s="368"/>
      <c r="G9" s="272"/>
      <c r="H9" s="276" t="s">
        <v>356</v>
      </c>
      <c r="I9" s="276"/>
      <c r="J9" s="276" t="s">
        <v>354</v>
      </c>
      <c r="K9" s="277"/>
      <c r="L9" s="276"/>
      <c r="M9" s="276"/>
      <c r="N9" s="285"/>
      <c r="O9" s="276"/>
      <c r="P9" s="276" t="s">
        <v>356</v>
      </c>
      <c r="Q9" s="276" t="s">
        <v>354</v>
      </c>
      <c r="R9" s="277"/>
      <c r="S9" s="272"/>
      <c r="T9" s="274"/>
      <c r="U9" s="276"/>
      <c r="V9" s="276" t="s">
        <v>354</v>
      </c>
      <c r="W9" s="275"/>
      <c r="X9" s="202"/>
    </row>
    <row r="10" spans="2:24" x14ac:dyDescent="0.3">
      <c r="B10" s="272"/>
      <c r="C10" s="273"/>
      <c r="D10" s="283" t="s">
        <v>377</v>
      </c>
      <c r="E10" s="284" t="s">
        <v>378</v>
      </c>
      <c r="F10" s="282"/>
      <c r="G10" s="285" t="s">
        <v>346</v>
      </c>
      <c r="H10" s="276" t="s">
        <v>357</v>
      </c>
      <c r="I10" s="276"/>
      <c r="J10" s="276" t="s">
        <v>314</v>
      </c>
      <c r="K10" s="277" t="s">
        <v>64</v>
      </c>
      <c r="L10" s="276"/>
      <c r="M10" s="276"/>
      <c r="N10" s="285" t="s">
        <v>358</v>
      </c>
      <c r="O10" s="276"/>
      <c r="P10" s="276" t="s">
        <v>357</v>
      </c>
      <c r="Q10" s="276" t="s">
        <v>314</v>
      </c>
      <c r="R10" s="277" t="s">
        <v>64</v>
      </c>
      <c r="S10" s="285"/>
      <c r="T10" s="276"/>
      <c r="U10" s="276" t="s">
        <v>68</v>
      </c>
      <c r="V10" s="276" t="s">
        <v>314</v>
      </c>
      <c r="W10" s="277"/>
      <c r="X10" s="202"/>
    </row>
    <row r="11" spans="2:24" x14ac:dyDescent="0.3">
      <c r="B11" s="272"/>
      <c r="C11" s="273"/>
      <c r="D11" s="285" t="s">
        <v>68</v>
      </c>
      <c r="E11" s="276" t="s">
        <v>68</v>
      </c>
      <c r="F11" s="275"/>
      <c r="G11" s="285" t="s">
        <v>354</v>
      </c>
      <c r="H11" s="276" t="s">
        <v>76</v>
      </c>
      <c r="I11" s="276"/>
      <c r="J11" s="276" t="s">
        <v>80</v>
      </c>
      <c r="K11" s="277" t="s">
        <v>359</v>
      </c>
      <c r="L11" s="276"/>
      <c r="M11" s="276"/>
      <c r="N11" s="285" t="s">
        <v>354</v>
      </c>
      <c r="O11" s="276"/>
      <c r="P11" s="276" t="s">
        <v>76</v>
      </c>
      <c r="Q11" s="276" t="s">
        <v>80</v>
      </c>
      <c r="R11" s="277" t="s">
        <v>359</v>
      </c>
      <c r="S11" s="285" t="s">
        <v>337</v>
      </c>
      <c r="T11" s="276"/>
      <c r="U11" s="276" t="s">
        <v>360</v>
      </c>
      <c r="V11" s="276" t="s">
        <v>80</v>
      </c>
      <c r="W11" s="277" t="s">
        <v>303</v>
      </c>
      <c r="X11" s="202"/>
    </row>
    <row r="12" spans="2:24" x14ac:dyDescent="0.3">
      <c r="B12" s="272"/>
      <c r="C12" s="273"/>
      <c r="D12" s="285" t="s">
        <v>360</v>
      </c>
      <c r="E12" s="276" t="s">
        <v>360</v>
      </c>
      <c r="F12" s="277" t="s">
        <v>64</v>
      </c>
      <c r="G12" s="285" t="s">
        <v>361</v>
      </c>
      <c r="H12" s="276" t="s">
        <v>362</v>
      </c>
      <c r="I12" s="276"/>
      <c r="J12" s="276" t="s">
        <v>363</v>
      </c>
      <c r="K12" s="277" t="s">
        <v>364</v>
      </c>
      <c r="L12" s="276"/>
      <c r="M12" s="276"/>
      <c r="N12" s="285" t="s">
        <v>361</v>
      </c>
      <c r="O12" s="276"/>
      <c r="P12" s="276" t="s">
        <v>362</v>
      </c>
      <c r="Q12" s="276" t="s">
        <v>363</v>
      </c>
      <c r="R12" s="277" t="s">
        <v>365</v>
      </c>
      <c r="S12" s="285" t="s">
        <v>314</v>
      </c>
      <c r="T12" s="276" t="s">
        <v>385</v>
      </c>
      <c r="U12" s="276" t="s">
        <v>366</v>
      </c>
      <c r="V12" s="276" t="s">
        <v>363</v>
      </c>
      <c r="W12" s="277" t="s">
        <v>303</v>
      </c>
      <c r="X12" s="202"/>
    </row>
    <row r="13" spans="2:24" x14ac:dyDescent="0.3">
      <c r="B13" s="278"/>
      <c r="C13" s="279"/>
      <c r="D13" s="285" t="s">
        <v>367</v>
      </c>
      <c r="E13" s="276" t="s">
        <v>367</v>
      </c>
      <c r="F13" s="277" t="s">
        <v>367</v>
      </c>
      <c r="G13" s="285" t="s">
        <v>357</v>
      </c>
      <c r="H13" s="276" t="s">
        <v>368</v>
      </c>
      <c r="I13" s="276" t="s">
        <v>369</v>
      </c>
      <c r="J13" s="276" t="s">
        <v>360</v>
      </c>
      <c r="K13" s="277" t="s">
        <v>370</v>
      </c>
      <c r="L13" s="276"/>
      <c r="M13" s="276"/>
      <c r="N13" s="285" t="s">
        <v>357</v>
      </c>
      <c r="O13" s="276" t="s">
        <v>369</v>
      </c>
      <c r="P13" s="276" t="s">
        <v>368</v>
      </c>
      <c r="Q13" s="276" t="s">
        <v>360</v>
      </c>
      <c r="R13" s="277" t="s">
        <v>370</v>
      </c>
      <c r="S13" s="285" t="s">
        <v>60</v>
      </c>
      <c r="T13" s="276" t="s">
        <v>374</v>
      </c>
      <c r="U13" s="276" t="s">
        <v>60</v>
      </c>
      <c r="V13" s="276" t="s">
        <v>360</v>
      </c>
      <c r="W13" s="277" t="s">
        <v>386</v>
      </c>
      <c r="X13" s="202"/>
    </row>
    <row r="14" spans="2:24" ht="11.15" thickBot="1" x14ac:dyDescent="0.35">
      <c r="B14" s="280" t="s">
        <v>379</v>
      </c>
      <c r="C14" s="281" t="s">
        <v>314</v>
      </c>
      <c r="D14" s="286" t="s">
        <v>72</v>
      </c>
      <c r="E14" s="287" t="s">
        <v>72</v>
      </c>
      <c r="F14" s="288" t="s">
        <v>72</v>
      </c>
      <c r="G14" s="286" t="s">
        <v>73</v>
      </c>
      <c r="H14" s="287" t="s">
        <v>371</v>
      </c>
      <c r="I14" s="287" t="s">
        <v>372</v>
      </c>
      <c r="J14" s="287" t="s">
        <v>80</v>
      </c>
      <c r="K14" s="288" t="s">
        <v>373</v>
      </c>
      <c r="L14" s="287"/>
      <c r="M14" s="287"/>
      <c r="N14" s="286" t="s">
        <v>73</v>
      </c>
      <c r="O14" s="287" t="s">
        <v>372</v>
      </c>
      <c r="P14" s="287" t="s">
        <v>371</v>
      </c>
      <c r="Q14" s="287" t="s">
        <v>80</v>
      </c>
      <c r="R14" s="288" t="s">
        <v>373</v>
      </c>
      <c r="S14" s="286" t="s">
        <v>344</v>
      </c>
      <c r="T14" s="287" t="s">
        <v>336</v>
      </c>
      <c r="U14" s="287" t="s">
        <v>344</v>
      </c>
      <c r="V14" s="287" t="s">
        <v>80</v>
      </c>
      <c r="W14" s="288" t="s">
        <v>344</v>
      </c>
      <c r="X14" s="202"/>
    </row>
    <row r="15" spans="2:24" x14ac:dyDescent="0.3">
      <c r="B15" s="292"/>
      <c r="C15" s="204"/>
      <c r="D15" s="204"/>
      <c r="E15" s="204"/>
      <c r="F15" s="204"/>
      <c r="G15" s="204"/>
      <c r="H15" s="204"/>
      <c r="I15" s="204"/>
      <c r="J15" s="204"/>
      <c r="K15" s="291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91"/>
      <c r="X15" s="202"/>
    </row>
    <row r="16" spans="2:24" ht="13.3" x14ac:dyDescent="0.6">
      <c r="B16" s="213"/>
      <c r="C16" s="295" t="str">
        <f>'Employer Allocations'!A6</f>
        <v>University Employers</v>
      </c>
      <c r="D16" s="205"/>
      <c r="E16" s="205"/>
      <c r="F16" s="205"/>
      <c r="G16" s="206"/>
      <c r="H16" s="206"/>
      <c r="I16" s="206"/>
      <c r="J16" s="205"/>
      <c r="K16" s="206"/>
      <c r="L16" s="206"/>
      <c r="M16" s="206"/>
      <c r="N16" s="206"/>
      <c r="O16" s="206"/>
      <c r="P16" s="206"/>
      <c r="Q16" s="205"/>
      <c r="R16" s="205"/>
      <c r="S16" s="205"/>
      <c r="T16" s="205"/>
      <c r="U16" s="205"/>
      <c r="V16" s="205"/>
      <c r="W16" s="205"/>
      <c r="X16" s="205"/>
    </row>
    <row r="17" spans="2:30" x14ac:dyDescent="0.3">
      <c r="B17" s="214">
        <v>263</v>
      </c>
      <c r="C17" s="207" t="str">
        <f>'Employer Allocations'!A7</f>
        <v>Eastern Kentucky University</v>
      </c>
      <c r="D17" s="208">
        <v>90619732</v>
      </c>
      <c r="E17" s="208">
        <v>95303278</v>
      </c>
      <c r="F17" s="208">
        <v>185923010</v>
      </c>
      <c r="G17" s="208">
        <v>-1080156</v>
      </c>
      <c r="H17" s="208">
        <v>836917</v>
      </c>
      <c r="I17" s="208">
        <v>2362011</v>
      </c>
      <c r="J17" s="208">
        <v>4689055</v>
      </c>
      <c r="K17" s="208">
        <v>6807827</v>
      </c>
      <c r="L17" s="208">
        <v>263</v>
      </c>
      <c r="M17" s="208" t="s">
        <v>93</v>
      </c>
      <c r="N17" s="208">
        <v>2968045</v>
      </c>
      <c r="O17" s="208">
        <v>26084018</v>
      </c>
      <c r="P17" s="208">
        <v>0</v>
      </c>
      <c r="Q17" s="208">
        <v>20233960</v>
      </c>
      <c r="R17" s="208">
        <v>49286023</v>
      </c>
      <c r="S17" s="208">
        <v>-10480181</v>
      </c>
      <c r="T17" s="208">
        <v>-11021833</v>
      </c>
      <c r="U17" s="208">
        <v>-21502014</v>
      </c>
      <c r="V17" s="208">
        <v>-28241206</v>
      </c>
      <c r="W17" s="208">
        <v>-49743220</v>
      </c>
      <c r="X17" s="209"/>
      <c r="Y17" s="347"/>
      <c r="Z17" s="347"/>
      <c r="AA17" s="347"/>
      <c r="AB17" s="347"/>
      <c r="AD17" s="210"/>
    </row>
    <row r="18" spans="2:30" x14ac:dyDescent="0.3">
      <c r="B18" s="214">
        <v>266</v>
      </c>
      <c r="C18" s="207" t="str">
        <f>'Employer Allocations'!A8</f>
        <v>Kentucky State University</v>
      </c>
      <c r="D18" s="209">
        <v>24786076</v>
      </c>
      <c r="E18" s="209">
        <v>26067110</v>
      </c>
      <c r="F18" s="209">
        <v>50853186</v>
      </c>
      <c r="G18" s="209">
        <v>-295442</v>
      </c>
      <c r="H18" s="209">
        <v>228911</v>
      </c>
      <c r="I18" s="209">
        <v>646051</v>
      </c>
      <c r="J18" s="209">
        <v>4114192</v>
      </c>
      <c r="K18" s="209">
        <v>4693712</v>
      </c>
      <c r="L18" s="209">
        <v>266</v>
      </c>
      <c r="M18" s="209" t="s">
        <v>94</v>
      </c>
      <c r="N18" s="209">
        <v>811812</v>
      </c>
      <c r="O18" s="209">
        <v>7134434</v>
      </c>
      <c r="P18" s="209">
        <v>0</v>
      </c>
      <c r="Q18" s="209">
        <v>3124981</v>
      </c>
      <c r="R18" s="209">
        <v>11071227</v>
      </c>
      <c r="S18" s="209">
        <v>-2866512</v>
      </c>
      <c r="T18" s="209">
        <v>-3014664</v>
      </c>
      <c r="U18" s="209">
        <v>-5881176</v>
      </c>
      <c r="V18" s="209">
        <v>-4947030</v>
      </c>
      <c r="W18" s="209">
        <v>-10828206</v>
      </c>
      <c r="X18" s="209"/>
      <c r="Y18" s="347"/>
      <c r="Z18" s="347"/>
      <c r="AA18" s="347"/>
      <c r="AB18" s="347"/>
      <c r="AD18" s="210"/>
    </row>
    <row r="19" spans="2:30" x14ac:dyDescent="0.3">
      <c r="B19" s="214">
        <v>269</v>
      </c>
      <c r="C19" s="207" t="str">
        <f>'Employer Allocations'!A9</f>
        <v>Morehead State University</v>
      </c>
      <c r="D19" s="209">
        <v>49768834</v>
      </c>
      <c r="E19" s="209">
        <v>52341065</v>
      </c>
      <c r="F19" s="209">
        <v>102109899</v>
      </c>
      <c r="G19" s="209">
        <v>-593228</v>
      </c>
      <c r="H19" s="209">
        <v>459639</v>
      </c>
      <c r="I19" s="209">
        <v>1297229</v>
      </c>
      <c r="J19" s="209">
        <v>2320197</v>
      </c>
      <c r="K19" s="209">
        <v>3483837</v>
      </c>
      <c r="L19" s="209">
        <v>269</v>
      </c>
      <c r="M19" s="209" t="s">
        <v>95</v>
      </c>
      <c r="N19" s="209">
        <v>1630066</v>
      </c>
      <c r="O19" s="209">
        <v>14325480</v>
      </c>
      <c r="P19" s="209">
        <v>0</v>
      </c>
      <c r="Q19" s="209">
        <v>10079202</v>
      </c>
      <c r="R19" s="209">
        <v>26034748</v>
      </c>
      <c r="S19" s="209">
        <v>-5755770</v>
      </c>
      <c r="T19" s="209">
        <v>-6053249</v>
      </c>
      <c r="U19" s="209">
        <v>-11809019</v>
      </c>
      <c r="V19" s="209">
        <v>-15628981</v>
      </c>
      <c r="W19" s="209">
        <v>-27438000</v>
      </c>
      <c r="X19" s="209"/>
      <c r="Y19" s="347"/>
      <c r="Z19" s="347"/>
      <c r="AA19" s="347"/>
      <c r="AB19" s="347"/>
      <c r="AD19" s="210"/>
    </row>
    <row r="20" spans="2:30" x14ac:dyDescent="0.3">
      <c r="B20" s="214">
        <v>270</v>
      </c>
      <c r="C20" s="207" t="str">
        <f>'Employer Allocations'!A10</f>
        <v>Murray State University</v>
      </c>
      <c r="D20" s="209">
        <v>50602220</v>
      </c>
      <c r="E20" s="209">
        <v>53217519</v>
      </c>
      <c r="F20" s="209">
        <v>103819739</v>
      </c>
      <c r="G20" s="209">
        <v>-603161</v>
      </c>
      <c r="H20" s="209">
        <v>467336</v>
      </c>
      <c r="I20" s="209">
        <v>1318951</v>
      </c>
      <c r="J20" s="209">
        <v>2461359</v>
      </c>
      <c r="K20" s="209">
        <v>3644485</v>
      </c>
      <c r="L20" s="209">
        <v>270</v>
      </c>
      <c r="M20" s="209" t="s">
        <v>96</v>
      </c>
      <c r="N20" s="209">
        <v>1657362</v>
      </c>
      <c r="O20" s="209">
        <v>14565362</v>
      </c>
      <c r="P20" s="209">
        <v>0</v>
      </c>
      <c r="Q20" s="209">
        <v>16029488</v>
      </c>
      <c r="R20" s="209">
        <v>32252212</v>
      </c>
      <c r="S20" s="209">
        <v>-5852152</v>
      </c>
      <c r="T20" s="209">
        <v>-6154611</v>
      </c>
      <c r="U20" s="209">
        <v>-12006763</v>
      </c>
      <c r="V20" s="209">
        <v>-20808246</v>
      </c>
      <c r="W20" s="209">
        <v>-32815009</v>
      </c>
      <c r="X20" s="209"/>
      <c r="Y20" s="347"/>
      <c r="Z20" s="347"/>
      <c r="AA20" s="347"/>
      <c r="AB20" s="347"/>
      <c r="AD20" s="210"/>
    </row>
    <row r="21" spans="2:30" x14ac:dyDescent="0.3">
      <c r="B21" s="214">
        <v>273</v>
      </c>
      <c r="C21" s="207" t="str">
        <f>'Employer Allocations'!A11</f>
        <v>Western Kentucky University</v>
      </c>
      <c r="D21" s="209">
        <v>79922679</v>
      </c>
      <c r="E21" s="209">
        <v>84053378</v>
      </c>
      <c r="F21" s="209">
        <v>163976057</v>
      </c>
      <c r="G21" s="209">
        <v>-952651</v>
      </c>
      <c r="H21" s="209">
        <v>738125</v>
      </c>
      <c r="I21" s="209">
        <v>2083191</v>
      </c>
      <c r="J21" s="209">
        <v>1974749</v>
      </c>
      <c r="K21" s="209">
        <v>3843414</v>
      </c>
      <c r="L21" s="209">
        <v>273</v>
      </c>
      <c r="M21" s="209" t="s">
        <v>97</v>
      </c>
      <c r="N21" s="209">
        <v>2617687</v>
      </c>
      <c r="O21" s="209">
        <v>23004974</v>
      </c>
      <c r="P21" s="209">
        <v>0</v>
      </c>
      <c r="Q21" s="209">
        <v>35786274</v>
      </c>
      <c r="R21" s="209">
        <v>61408935</v>
      </c>
      <c r="S21" s="209">
        <v>-9243065</v>
      </c>
      <c r="T21" s="209">
        <v>-9720781</v>
      </c>
      <c r="U21" s="209">
        <v>-18963846</v>
      </c>
      <c r="V21" s="209">
        <v>-38079112</v>
      </c>
      <c r="W21" s="209">
        <v>-57042958</v>
      </c>
      <c r="X21" s="209"/>
      <c r="Y21" s="347"/>
      <c r="Z21" s="347"/>
      <c r="AA21" s="347"/>
      <c r="AB21" s="347"/>
      <c r="AD21" s="210"/>
    </row>
    <row r="22" spans="2:30" ht="12" x14ac:dyDescent="0.45">
      <c r="B22" s="214">
        <v>500</v>
      </c>
      <c r="C22" s="207" t="str">
        <f>'Employer Allocations'!A12</f>
        <v>KCTCS Central Office - University</v>
      </c>
      <c r="D22" s="211">
        <v>27049997</v>
      </c>
      <c r="E22" s="211">
        <v>28448031</v>
      </c>
      <c r="F22" s="211">
        <v>55498028</v>
      </c>
      <c r="G22" s="211">
        <v>-322427</v>
      </c>
      <c r="H22" s="211">
        <v>249820</v>
      </c>
      <c r="I22" s="211">
        <v>705060</v>
      </c>
      <c r="J22" s="211">
        <v>433779</v>
      </c>
      <c r="K22" s="211">
        <v>1066232</v>
      </c>
      <c r="L22" s="211">
        <v>500</v>
      </c>
      <c r="M22" s="211" t="s">
        <v>376</v>
      </c>
      <c r="N22" s="211">
        <v>885962</v>
      </c>
      <c r="O22" s="211">
        <v>7786081</v>
      </c>
      <c r="P22" s="211">
        <v>0</v>
      </c>
      <c r="Q22" s="211">
        <v>3371853</v>
      </c>
      <c r="R22" s="211">
        <v>12043896</v>
      </c>
      <c r="S22" s="211">
        <v>-3128335</v>
      </c>
      <c r="T22" s="211">
        <v>-3290017</v>
      </c>
      <c r="U22" s="211">
        <v>-6418352</v>
      </c>
      <c r="V22" s="211">
        <v>-9065289</v>
      </c>
      <c r="W22" s="211">
        <v>-15483641</v>
      </c>
      <c r="X22" s="209"/>
      <c r="Y22" s="347"/>
      <c r="Z22" s="347"/>
      <c r="AA22" s="347"/>
      <c r="AB22" s="347"/>
      <c r="AD22" s="210"/>
    </row>
    <row r="23" spans="2:30" x14ac:dyDescent="0.3">
      <c r="B23" s="213"/>
      <c r="C23" s="207" t="s">
        <v>342</v>
      </c>
      <c r="D23" s="208">
        <f t="shared" ref="D23:W23" si="0">SUM(D17:D22)</f>
        <v>322749538</v>
      </c>
      <c r="E23" s="208">
        <f t="shared" si="0"/>
        <v>339430381</v>
      </c>
      <c r="F23" s="208">
        <f t="shared" si="0"/>
        <v>662179919</v>
      </c>
      <c r="G23" s="208">
        <f t="shared" si="0"/>
        <v>-3847065</v>
      </c>
      <c r="H23" s="208">
        <f t="shared" si="0"/>
        <v>2980748</v>
      </c>
      <c r="I23" s="208">
        <f t="shared" si="0"/>
        <v>8412493</v>
      </c>
      <c r="J23" s="217">
        <f>SUM(J17:J22)</f>
        <v>15993331</v>
      </c>
      <c r="K23" s="217">
        <f t="shared" si="0"/>
        <v>23539507</v>
      </c>
      <c r="L23" s="217"/>
      <c r="M23" s="217"/>
      <c r="N23" s="208">
        <f t="shared" si="0"/>
        <v>10570934</v>
      </c>
      <c r="O23" s="208">
        <f t="shared" si="0"/>
        <v>92900349</v>
      </c>
      <c r="P23" s="208">
        <f t="shared" si="0"/>
        <v>0</v>
      </c>
      <c r="Q23" s="208">
        <f t="shared" si="0"/>
        <v>88625758</v>
      </c>
      <c r="R23" s="208">
        <f t="shared" si="0"/>
        <v>192097041</v>
      </c>
      <c r="S23" s="208">
        <f>SUM(S17:S22)</f>
        <v>-37326015</v>
      </c>
      <c r="T23" s="208">
        <f>SUM(T17:T22)</f>
        <v>-39255155</v>
      </c>
      <c r="U23" s="208">
        <f>SUM(U17:U22)</f>
        <v>-76581170</v>
      </c>
      <c r="V23" s="217">
        <f>SUM(V17:V22)</f>
        <v>-116769864</v>
      </c>
      <c r="W23" s="217">
        <f t="shared" si="0"/>
        <v>-193351034</v>
      </c>
      <c r="X23" s="209"/>
      <c r="Y23" s="347"/>
      <c r="Z23" s="347"/>
      <c r="AA23" s="347"/>
      <c r="AB23" s="347"/>
    </row>
    <row r="24" spans="2:30" x14ac:dyDescent="0.3">
      <c r="B24" s="213"/>
      <c r="C24" s="207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347"/>
      <c r="Z24" s="347"/>
      <c r="AA24" s="347"/>
      <c r="AB24" s="347"/>
    </row>
    <row r="25" spans="2:30" x14ac:dyDescent="0.3">
      <c r="B25" s="213"/>
      <c r="C25" s="207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347"/>
      <c r="Z25" s="347"/>
      <c r="AA25" s="347"/>
      <c r="AB25" s="347"/>
    </row>
    <row r="26" spans="2:30" ht="13.3" x14ac:dyDescent="0.6">
      <c r="B26" s="213"/>
      <c r="C26" s="295" t="str">
        <f>'Employer Allocations'!A18</f>
        <v>Non-University Employers - Other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347"/>
      <c r="Z26" s="347"/>
      <c r="AA26" s="347"/>
      <c r="AB26" s="347"/>
    </row>
    <row r="27" spans="2:30" x14ac:dyDescent="0.3">
      <c r="B27" s="214">
        <v>400</v>
      </c>
      <c r="C27" s="207" t="str">
        <f>'Employer Allocations'!A19</f>
        <v>KCTCS Central Office</v>
      </c>
      <c r="D27" s="208">
        <v>22308365</v>
      </c>
      <c r="E27" s="208">
        <v>31665429</v>
      </c>
      <c r="F27" s="208">
        <v>53973794</v>
      </c>
      <c r="G27" s="208">
        <v>125960</v>
      </c>
      <c r="H27" s="217">
        <v>115499</v>
      </c>
      <c r="I27" s="208">
        <v>549616</v>
      </c>
      <c r="J27" s="208">
        <v>0</v>
      </c>
      <c r="K27" s="208">
        <v>791075</v>
      </c>
      <c r="L27" s="208">
        <v>400</v>
      </c>
      <c r="M27" s="208" t="s">
        <v>98</v>
      </c>
      <c r="N27" s="208">
        <v>85586</v>
      </c>
      <c r="O27" s="208">
        <v>7050245</v>
      </c>
      <c r="P27" s="208">
        <v>0</v>
      </c>
      <c r="Q27" s="208">
        <v>14957728</v>
      </c>
      <c r="R27" s="208">
        <v>22093559</v>
      </c>
      <c r="S27" s="208">
        <v>-2475306</v>
      </c>
      <c r="T27" s="208">
        <v>-3513554</v>
      </c>
      <c r="U27" s="208">
        <v>-5988860</v>
      </c>
      <c r="V27" s="208">
        <v>-23421940</v>
      </c>
      <c r="W27" s="208">
        <v>-29410800</v>
      </c>
      <c r="X27" s="209"/>
      <c r="Y27" s="347"/>
      <c r="Z27" s="347"/>
      <c r="AA27" s="347"/>
      <c r="AB27" s="347"/>
    </row>
    <row r="28" spans="2:30" x14ac:dyDescent="0.3">
      <c r="B28" s="214">
        <v>801</v>
      </c>
      <c r="C28" s="207" t="str">
        <f>'Employer Allocations'!A20</f>
        <v>KY High School Athletic Association</v>
      </c>
      <c r="D28" s="209">
        <v>1382137</v>
      </c>
      <c r="E28" s="209">
        <v>1961807</v>
      </c>
      <c r="F28" s="209">
        <v>3343944</v>
      </c>
      <c r="G28" s="209">
        <v>7804</v>
      </c>
      <c r="H28" s="209">
        <v>7156</v>
      </c>
      <c r="I28" s="209">
        <v>34052</v>
      </c>
      <c r="J28" s="209">
        <v>117177</v>
      </c>
      <c r="K28" s="209">
        <v>166189</v>
      </c>
      <c r="L28" s="209">
        <v>801</v>
      </c>
      <c r="M28" s="209" t="s">
        <v>100</v>
      </c>
      <c r="N28" s="209">
        <v>5303</v>
      </c>
      <c r="O28" s="209">
        <v>436805</v>
      </c>
      <c r="P28" s="209">
        <v>0</v>
      </c>
      <c r="Q28" s="209">
        <v>139073</v>
      </c>
      <c r="R28" s="209">
        <v>581181</v>
      </c>
      <c r="S28" s="209">
        <v>-153360</v>
      </c>
      <c r="T28" s="209">
        <v>-217680</v>
      </c>
      <c r="U28" s="209">
        <v>-371040</v>
      </c>
      <c r="V28" s="209">
        <v>-403093</v>
      </c>
      <c r="W28" s="209">
        <v>-774133</v>
      </c>
      <c r="X28" s="209"/>
      <c r="Y28" s="347"/>
      <c r="Z28" s="347"/>
      <c r="AA28" s="347"/>
      <c r="AB28" s="347"/>
    </row>
    <row r="29" spans="2:30" x14ac:dyDescent="0.3">
      <c r="B29" s="214">
        <v>805</v>
      </c>
      <c r="C29" s="207" t="str">
        <f>'Employer Allocations'!A21</f>
        <v>KY School Boards Association</v>
      </c>
      <c r="D29" s="209">
        <v>2257453</v>
      </c>
      <c r="E29" s="209">
        <v>3204342</v>
      </c>
      <c r="F29" s="209">
        <v>5461795</v>
      </c>
      <c r="G29" s="209">
        <v>12746</v>
      </c>
      <c r="H29" s="209">
        <v>11688</v>
      </c>
      <c r="I29" s="209">
        <v>55617</v>
      </c>
      <c r="J29" s="209">
        <v>80566</v>
      </c>
      <c r="K29" s="209">
        <v>160617</v>
      </c>
      <c r="L29" s="209">
        <v>805</v>
      </c>
      <c r="M29" s="209" t="s">
        <v>101</v>
      </c>
      <c r="N29" s="209">
        <v>8661</v>
      </c>
      <c r="O29" s="209">
        <v>713436</v>
      </c>
      <c r="P29" s="209">
        <v>0</v>
      </c>
      <c r="Q29" s="209">
        <v>1075391</v>
      </c>
      <c r="R29" s="209">
        <v>1797488</v>
      </c>
      <c r="S29" s="209">
        <v>-250484</v>
      </c>
      <c r="T29" s="209">
        <v>-355550</v>
      </c>
      <c r="U29" s="209">
        <v>-606034</v>
      </c>
      <c r="V29" s="209">
        <v>-1447072</v>
      </c>
      <c r="W29" s="209">
        <v>-2053106</v>
      </c>
      <c r="X29" s="209"/>
      <c r="Y29" s="347"/>
      <c r="Z29" s="347"/>
      <c r="AA29" s="347"/>
      <c r="AB29" s="347"/>
    </row>
    <row r="30" spans="2:30" x14ac:dyDescent="0.3">
      <c r="B30" s="214">
        <v>806</v>
      </c>
      <c r="C30" s="207" t="str">
        <f>'Employer Allocations'!A22</f>
        <v>KY Education Association</v>
      </c>
      <c r="D30" s="209">
        <v>341282</v>
      </c>
      <c r="E30" s="209">
        <v>484428</v>
      </c>
      <c r="F30" s="209">
        <v>825710</v>
      </c>
      <c r="G30" s="209">
        <v>1927</v>
      </c>
      <c r="H30" s="209">
        <v>1767</v>
      </c>
      <c r="I30" s="209">
        <v>8408</v>
      </c>
      <c r="J30" s="209">
        <v>27516</v>
      </c>
      <c r="K30" s="209">
        <v>39618</v>
      </c>
      <c r="L30" s="209">
        <v>806</v>
      </c>
      <c r="M30" s="209" t="s">
        <v>102</v>
      </c>
      <c r="N30" s="209">
        <v>1309</v>
      </c>
      <c r="O30" s="209">
        <v>107858</v>
      </c>
      <c r="P30" s="209">
        <v>0</v>
      </c>
      <c r="Q30" s="209">
        <v>76851</v>
      </c>
      <c r="R30" s="209">
        <v>186018</v>
      </c>
      <c r="S30" s="209">
        <v>-37868</v>
      </c>
      <c r="T30" s="209">
        <v>-53752</v>
      </c>
      <c r="U30" s="209">
        <v>-91620</v>
      </c>
      <c r="V30" s="209">
        <v>-150062</v>
      </c>
      <c r="W30" s="209">
        <v>-241682</v>
      </c>
      <c r="X30" s="209"/>
      <c r="Y30" s="347"/>
      <c r="Z30" s="347"/>
      <c r="AA30" s="347"/>
      <c r="AB30" s="347"/>
    </row>
    <row r="31" spans="2:30" x14ac:dyDescent="0.3">
      <c r="B31" s="214">
        <v>807</v>
      </c>
      <c r="C31" s="207" t="str">
        <f>'Employer Allocations'!A23</f>
        <v>KY Academic Association</v>
      </c>
      <c r="D31" s="209">
        <v>220246</v>
      </c>
      <c r="E31" s="209">
        <v>312653</v>
      </c>
      <c r="F31" s="209">
        <v>532899</v>
      </c>
      <c r="G31" s="209">
        <v>1244</v>
      </c>
      <c r="H31" s="209">
        <v>1140</v>
      </c>
      <c r="I31" s="209">
        <v>5426</v>
      </c>
      <c r="J31" s="209">
        <v>6943</v>
      </c>
      <c r="K31" s="209">
        <v>14753</v>
      </c>
      <c r="L31" s="209">
        <v>807</v>
      </c>
      <c r="M31" s="209" t="s">
        <v>103</v>
      </c>
      <c r="N31" s="209">
        <v>845</v>
      </c>
      <c r="O31" s="209">
        <v>69606</v>
      </c>
      <c r="P31" s="209">
        <v>0</v>
      </c>
      <c r="Q31" s="209">
        <v>40633</v>
      </c>
      <c r="R31" s="209">
        <v>111084</v>
      </c>
      <c r="S31" s="209">
        <v>-24438</v>
      </c>
      <c r="T31" s="209">
        <v>-34692</v>
      </c>
      <c r="U31" s="209">
        <v>-59130</v>
      </c>
      <c r="V31" s="209">
        <v>-92122</v>
      </c>
      <c r="W31" s="209">
        <v>-151252</v>
      </c>
      <c r="X31" s="209"/>
      <c r="Y31" s="347"/>
      <c r="Z31" s="347"/>
      <c r="AA31" s="347"/>
      <c r="AB31" s="347"/>
    </row>
    <row r="32" spans="2:30" ht="12" x14ac:dyDescent="0.45">
      <c r="B32" s="214">
        <v>809</v>
      </c>
      <c r="C32" s="207" t="str">
        <f>'Employer Allocations'!A24</f>
        <v>Jefferson County Teachers' Association</v>
      </c>
      <c r="D32" s="211">
        <v>100911</v>
      </c>
      <c r="E32" s="211">
        <v>143288</v>
      </c>
      <c r="F32" s="211">
        <v>244199</v>
      </c>
      <c r="G32" s="211">
        <v>570</v>
      </c>
      <c r="H32" s="211">
        <v>522</v>
      </c>
      <c r="I32" s="211">
        <v>2486</v>
      </c>
      <c r="J32" s="211">
        <v>5317</v>
      </c>
      <c r="K32" s="211">
        <v>8895</v>
      </c>
      <c r="L32" s="211">
        <v>809</v>
      </c>
      <c r="M32" s="211" t="s">
        <v>117</v>
      </c>
      <c r="N32" s="211">
        <v>387</v>
      </c>
      <c r="O32" s="211">
        <v>31891</v>
      </c>
      <c r="P32" s="211">
        <v>0</v>
      </c>
      <c r="Q32" s="211">
        <v>18862</v>
      </c>
      <c r="R32" s="211">
        <v>51140</v>
      </c>
      <c r="S32" s="211">
        <v>-11197</v>
      </c>
      <c r="T32" s="211">
        <v>-15899</v>
      </c>
      <c r="U32" s="211">
        <v>-27096</v>
      </c>
      <c r="V32" s="211">
        <v>-39080</v>
      </c>
      <c r="W32" s="211">
        <v>-66176</v>
      </c>
      <c r="X32" s="209"/>
      <c r="Y32" s="347"/>
      <c r="Z32" s="347"/>
      <c r="AA32" s="347"/>
      <c r="AB32" s="347"/>
    </row>
    <row r="33" spans="2:28" ht="12" customHeight="1" x14ac:dyDescent="0.3">
      <c r="B33" s="213"/>
      <c r="C33" s="207" t="s">
        <v>722</v>
      </c>
      <c r="D33" s="208">
        <f t="shared" ref="D33:S33" si="1">SUM(D27:D32)</f>
        <v>26610394</v>
      </c>
      <c r="E33" s="208">
        <f t="shared" si="1"/>
        <v>37771947</v>
      </c>
      <c r="F33" s="208">
        <f t="shared" ref="F33:I33" si="2">SUM(F27:F32)</f>
        <v>64382341</v>
      </c>
      <c r="G33" s="208">
        <f t="shared" ref="G33" si="3">SUM(G27:G32)</f>
        <v>150251</v>
      </c>
      <c r="H33" s="217">
        <f t="shared" si="2"/>
        <v>137772</v>
      </c>
      <c r="I33" s="208">
        <f t="shared" si="2"/>
        <v>655605</v>
      </c>
      <c r="J33" s="208">
        <f>SUM(J27:J32)</f>
        <v>237519</v>
      </c>
      <c r="K33" s="208">
        <f t="shared" ref="K33" si="4">SUM(K27:K32)</f>
        <v>1181147</v>
      </c>
      <c r="L33" s="208"/>
      <c r="M33" s="208"/>
      <c r="N33" s="208">
        <f t="shared" si="1"/>
        <v>102091</v>
      </c>
      <c r="O33" s="208">
        <f t="shared" si="1"/>
        <v>8409841</v>
      </c>
      <c r="P33" s="208">
        <f t="shared" si="1"/>
        <v>0</v>
      </c>
      <c r="Q33" s="208">
        <f t="shared" si="1"/>
        <v>16308538</v>
      </c>
      <c r="R33" s="208">
        <f t="shared" si="1"/>
        <v>24820470</v>
      </c>
      <c r="S33" s="208">
        <f t="shared" si="1"/>
        <v>-2952653</v>
      </c>
      <c r="T33" s="208">
        <f>SUM(T27:T32)</f>
        <v>-4191127</v>
      </c>
      <c r="U33" s="208">
        <f>SUM(U27:U32)</f>
        <v>-7143780</v>
      </c>
      <c r="V33" s="208">
        <f>SUM(V27:V32)</f>
        <v>-25553369</v>
      </c>
      <c r="W33" s="208">
        <f>SUM(W27:W32)</f>
        <v>-32697149</v>
      </c>
      <c r="X33" s="209"/>
      <c r="Y33" s="347"/>
      <c r="Z33" s="347"/>
      <c r="AA33" s="347"/>
      <c r="AB33" s="347"/>
    </row>
    <row r="34" spans="2:28" x14ac:dyDescent="0.3">
      <c r="B34" s="213"/>
      <c r="C34" s="207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347"/>
      <c r="Z34" s="347"/>
      <c r="AA34" s="347"/>
      <c r="AB34" s="347"/>
    </row>
    <row r="35" spans="2:28" s="213" customFormat="1" x14ac:dyDescent="0.3">
      <c r="C35" s="207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347"/>
      <c r="Z35" s="347"/>
      <c r="AA35" s="347"/>
      <c r="AB35" s="347"/>
    </row>
    <row r="36" spans="2:28" ht="13.3" x14ac:dyDescent="0.6">
      <c r="B36" s="213"/>
      <c r="C36" s="295" t="str">
        <f>'Employer Allocations'!A28</f>
        <v>Non-University Employers - State Agencies</v>
      </c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347"/>
      <c r="Z36" s="347"/>
      <c r="AA36" s="347"/>
      <c r="AB36" s="347"/>
    </row>
    <row r="37" spans="2:28" x14ac:dyDescent="0.3">
      <c r="B37" s="214">
        <v>301</v>
      </c>
      <c r="C37" s="207" t="str">
        <f>'Employer Allocations'!A29</f>
        <v>Technical Education District - Madisonville</v>
      </c>
      <c r="D37" s="208">
        <v>10509884</v>
      </c>
      <c r="E37" s="208">
        <v>14918353</v>
      </c>
      <c r="F37" s="208">
        <v>25428237</v>
      </c>
      <c r="G37" s="208">
        <v>59342</v>
      </c>
      <c r="H37" s="217">
        <v>54414</v>
      </c>
      <c r="I37" s="208">
        <v>258934</v>
      </c>
      <c r="J37" s="208">
        <v>634047</v>
      </c>
      <c r="K37" s="208">
        <v>1006737</v>
      </c>
      <c r="L37" s="208">
        <v>301</v>
      </c>
      <c r="M37" s="208" t="s">
        <v>104</v>
      </c>
      <c r="N37" s="208">
        <v>40321</v>
      </c>
      <c r="O37" s="208">
        <v>3321501</v>
      </c>
      <c r="P37" s="208">
        <v>0</v>
      </c>
      <c r="Q37" s="208">
        <v>2713584</v>
      </c>
      <c r="R37" s="208">
        <v>6075406</v>
      </c>
      <c r="S37" s="208">
        <v>-1166162</v>
      </c>
      <c r="T37" s="208">
        <v>-1655321</v>
      </c>
      <c r="U37" s="208">
        <v>-2821483</v>
      </c>
      <c r="V37" s="208">
        <v>-2663752</v>
      </c>
      <c r="W37" s="208">
        <v>-5485235</v>
      </c>
      <c r="X37" s="209"/>
      <c r="Y37" s="347"/>
      <c r="Z37" s="347"/>
      <c r="AA37" s="347"/>
      <c r="AB37" s="347"/>
    </row>
    <row r="38" spans="2:28" x14ac:dyDescent="0.3">
      <c r="B38" s="214">
        <v>302</v>
      </c>
      <c r="C38" s="207" t="str">
        <f>'Employer Allocations'!A30</f>
        <v>Technical Education District - Bowling Green</v>
      </c>
      <c r="D38" s="209">
        <v>11223771</v>
      </c>
      <c r="E38" s="209">
        <v>15931570</v>
      </c>
      <c r="F38" s="209">
        <v>27155341</v>
      </c>
      <c r="G38" s="209">
        <v>63373</v>
      </c>
      <c r="H38" s="209">
        <v>58110</v>
      </c>
      <c r="I38" s="209">
        <v>276522</v>
      </c>
      <c r="J38" s="209">
        <v>352404</v>
      </c>
      <c r="K38" s="209">
        <v>750409</v>
      </c>
      <c r="L38" s="209">
        <v>302</v>
      </c>
      <c r="M38" s="209" t="s">
        <v>105</v>
      </c>
      <c r="N38" s="209">
        <v>43060</v>
      </c>
      <c r="O38" s="209">
        <v>3547115</v>
      </c>
      <c r="P38" s="209">
        <v>0</v>
      </c>
      <c r="Q38" s="209">
        <v>1677461</v>
      </c>
      <c r="R38" s="209">
        <v>5267636</v>
      </c>
      <c r="S38" s="209">
        <v>-1245375</v>
      </c>
      <c r="T38" s="209">
        <v>-1767746</v>
      </c>
      <c r="U38" s="209">
        <v>-3013121</v>
      </c>
      <c r="V38" s="209">
        <v>-2820947</v>
      </c>
      <c r="W38" s="209">
        <v>-5834068</v>
      </c>
      <c r="X38" s="209"/>
      <c r="Y38" s="347"/>
      <c r="Z38" s="347"/>
      <c r="AA38" s="347"/>
      <c r="AB38" s="347"/>
    </row>
    <row r="39" spans="2:28" x14ac:dyDescent="0.3">
      <c r="B39" s="214">
        <v>303</v>
      </c>
      <c r="C39" s="207" t="str">
        <f>'Employer Allocations'!A31</f>
        <v>Technical Education District - Elizabethtown</v>
      </c>
      <c r="D39" s="209">
        <v>0</v>
      </c>
      <c r="E39" s="209">
        <v>0</v>
      </c>
      <c r="F39" s="209"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v>303</v>
      </c>
      <c r="M39" s="209" t="s">
        <v>106</v>
      </c>
      <c r="N39" s="209">
        <v>0</v>
      </c>
      <c r="O39" s="209">
        <v>0</v>
      </c>
      <c r="P39" s="209">
        <v>0</v>
      </c>
      <c r="Q39" s="209">
        <v>1993481</v>
      </c>
      <c r="R39" s="209">
        <v>1993481</v>
      </c>
      <c r="S39" s="209">
        <v>0</v>
      </c>
      <c r="T39" s="209">
        <v>0</v>
      </c>
      <c r="U39" s="209">
        <v>0</v>
      </c>
      <c r="V39" s="209">
        <v>-6159412</v>
      </c>
      <c r="W39" s="209">
        <v>-6159412</v>
      </c>
      <c r="X39" s="209"/>
      <c r="Y39" s="347"/>
      <c r="Z39" s="347"/>
      <c r="AA39" s="347"/>
      <c r="AB39" s="347"/>
    </row>
    <row r="40" spans="2:28" x14ac:dyDescent="0.3">
      <c r="B40" s="214">
        <v>304</v>
      </c>
      <c r="C40" s="207" t="str">
        <f>'Employer Allocations'!A32</f>
        <v>Technical Education District - Frankfort</v>
      </c>
      <c r="D40" s="209">
        <v>8418254</v>
      </c>
      <c r="E40" s="209">
        <v>11949280</v>
      </c>
      <c r="F40" s="209">
        <v>20367534</v>
      </c>
      <c r="G40" s="209">
        <v>47532</v>
      </c>
      <c r="H40" s="209">
        <v>43584</v>
      </c>
      <c r="I40" s="209">
        <v>207402</v>
      </c>
      <c r="J40" s="209">
        <v>173036</v>
      </c>
      <c r="K40" s="209">
        <v>471554</v>
      </c>
      <c r="L40" s="209">
        <v>304</v>
      </c>
      <c r="M40" s="209" t="s">
        <v>107</v>
      </c>
      <c r="N40" s="209">
        <v>32297</v>
      </c>
      <c r="O40" s="209">
        <v>2660471</v>
      </c>
      <c r="P40" s="209">
        <v>0</v>
      </c>
      <c r="Q40" s="209">
        <v>2276411</v>
      </c>
      <c r="R40" s="209">
        <v>4969179</v>
      </c>
      <c r="S40" s="209">
        <v>-934078</v>
      </c>
      <c r="T40" s="209">
        <v>-1325876</v>
      </c>
      <c r="U40" s="209">
        <v>-2259954</v>
      </c>
      <c r="V40" s="209">
        <v>-4562511</v>
      </c>
      <c r="W40" s="209">
        <v>-6822465</v>
      </c>
      <c r="X40" s="209"/>
      <c r="Y40" s="347"/>
      <c r="Z40" s="347"/>
      <c r="AA40" s="347"/>
      <c r="AB40" s="347"/>
    </row>
    <row r="41" spans="2:28" x14ac:dyDescent="0.3">
      <c r="B41" s="214">
        <v>305</v>
      </c>
      <c r="C41" s="207" t="str">
        <f>'Employer Allocations'!A33</f>
        <v>Technical Education District - Hazard</v>
      </c>
      <c r="D41" s="209">
        <v>10368298</v>
      </c>
      <c r="E41" s="209">
        <v>14717381</v>
      </c>
      <c r="F41" s="209">
        <v>25085679</v>
      </c>
      <c r="G41" s="209">
        <v>58543</v>
      </c>
      <c r="H41" s="209">
        <v>53681</v>
      </c>
      <c r="I41" s="209">
        <v>255446</v>
      </c>
      <c r="J41" s="209">
        <v>333685</v>
      </c>
      <c r="K41" s="209">
        <v>701355</v>
      </c>
      <c r="L41" s="209">
        <v>305</v>
      </c>
      <c r="M41" s="209" t="s">
        <v>108</v>
      </c>
      <c r="N41" s="209">
        <v>39778</v>
      </c>
      <c r="O41" s="209">
        <v>3276755</v>
      </c>
      <c r="P41" s="209">
        <v>0</v>
      </c>
      <c r="Q41" s="209">
        <v>2053601</v>
      </c>
      <c r="R41" s="209">
        <v>5370134</v>
      </c>
      <c r="S41" s="209">
        <v>-1150452</v>
      </c>
      <c r="T41" s="209">
        <v>-1633021</v>
      </c>
      <c r="U41" s="209">
        <v>-2783473</v>
      </c>
      <c r="V41" s="209">
        <v>-3562707</v>
      </c>
      <c r="W41" s="209">
        <v>-6346180</v>
      </c>
      <c r="X41" s="209"/>
      <c r="Y41" s="347"/>
      <c r="Z41" s="347"/>
      <c r="AA41" s="347"/>
      <c r="AB41" s="347"/>
    </row>
    <row r="42" spans="2:28" x14ac:dyDescent="0.3">
      <c r="B42" s="214">
        <v>308</v>
      </c>
      <c r="C42" s="207" t="s">
        <v>733</v>
      </c>
      <c r="D42" s="209">
        <v>572017</v>
      </c>
      <c r="E42" s="209">
        <v>811963</v>
      </c>
      <c r="F42" s="209">
        <v>1383980</v>
      </c>
      <c r="G42" s="209">
        <v>3230</v>
      </c>
      <c r="H42" s="209">
        <v>2962</v>
      </c>
      <c r="I42" s="209">
        <v>14093</v>
      </c>
      <c r="J42" s="209">
        <v>0</v>
      </c>
      <c r="K42" s="209">
        <v>20285</v>
      </c>
      <c r="L42" s="209">
        <v>308</v>
      </c>
      <c r="M42" s="209" t="s">
        <v>109</v>
      </c>
      <c r="N42" s="209">
        <v>2195</v>
      </c>
      <c r="O42" s="209">
        <v>180778</v>
      </c>
      <c r="P42" s="209">
        <v>0</v>
      </c>
      <c r="Q42" s="209">
        <v>351788</v>
      </c>
      <c r="R42" s="209">
        <v>534761</v>
      </c>
      <c r="S42" s="209">
        <v>-63471</v>
      </c>
      <c r="T42" s="209">
        <v>-90094</v>
      </c>
      <c r="U42" s="209">
        <v>-153565</v>
      </c>
      <c r="V42" s="209">
        <v>-612893</v>
      </c>
      <c r="W42" s="209">
        <v>-766458</v>
      </c>
      <c r="X42" s="209"/>
      <c r="Y42" s="347"/>
      <c r="Z42" s="347"/>
      <c r="AA42" s="347"/>
      <c r="AB42" s="347"/>
    </row>
    <row r="43" spans="2:28" x14ac:dyDescent="0.3">
      <c r="B43" s="214">
        <v>316</v>
      </c>
      <c r="C43" s="207" t="str">
        <f>'Employer Allocations'!A35</f>
        <v>Office of Career and Technical Education</v>
      </c>
      <c r="D43" s="209">
        <v>3801019</v>
      </c>
      <c r="E43" s="209">
        <v>5395466</v>
      </c>
      <c r="F43" s="209">
        <v>9196485</v>
      </c>
      <c r="G43" s="209">
        <v>21462</v>
      </c>
      <c r="H43" s="209">
        <v>19679</v>
      </c>
      <c r="I43" s="209">
        <v>93646</v>
      </c>
      <c r="J43" s="209">
        <v>1048360</v>
      </c>
      <c r="K43" s="209">
        <v>1183147</v>
      </c>
      <c r="L43" s="209">
        <v>316</v>
      </c>
      <c r="M43" s="209" t="s">
        <v>110</v>
      </c>
      <c r="N43" s="209">
        <v>14583</v>
      </c>
      <c r="O43" s="209">
        <v>1201259</v>
      </c>
      <c r="P43" s="209">
        <v>0</v>
      </c>
      <c r="Q43" s="209">
        <v>647860</v>
      </c>
      <c r="R43" s="209">
        <v>1863702</v>
      </c>
      <c r="S43" s="209">
        <v>-421756</v>
      </c>
      <c r="T43" s="209">
        <v>-598674</v>
      </c>
      <c r="U43" s="209">
        <v>-1020430</v>
      </c>
      <c r="V43" s="209">
        <v>-646885</v>
      </c>
      <c r="W43" s="209">
        <v>-1667315</v>
      </c>
      <c r="X43" s="209"/>
      <c r="Y43" s="347"/>
      <c r="Z43" s="347"/>
      <c r="AA43" s="347"/>
      <c r="AB43" s="347"/>
    </row>
    <row r="44" spans="2:28" x14ac:dyDescent="0.3">
      <c r="B44" s="214">
        <v>318</v>
      </c>
      <c r="C44" s="207" t="str">
        <f>'Employer Allocations'!A37</f>
        <v>Department for Vocational Rehabilitation</v>
      </c>
      <c r="D44" s="209">
        <v>17408666</v>
      </c>
      <c r="E44" s="209">
        <v>24710665</v>
      </c>
      <c r="F44" s="209">
        <v>42119331</v>
      </c>
      <c r="G44" s="209">
        <v>98295</v>
      </c>
      <c r="H44" s="209">
        <v>90131</v>
      </c>
      <c r="I44" s="209">
        <v>428901</v>
      </c>
      <c r="J44" s="209">
        <v>723796</v>
      </c>
      <c r="K44" s="209">
        <v>1341123</v>
      </c>
      <c r="L44" s="209">
        <v>318</v>
      </c>
      <c r="M44" s="209" t="s">
        <v>112</v>
      </c>
      <c r="N44" s="209">
        <v>66789</v>
      </c>
      <c r="O44" s="209">
        <v>5501764</v>
      </c>
      <c r="P44" s="209">
        <v>0</v>
      </c>
      <c r="Q44" s="209">
        <v>4299793</v>
      </c>
      <c r="R44" s="209">
        <v>9868346</v>
      </c>
      <c r="S44" s="209">
        <v>-1931643</v>
      </c>
      <c r="T44" s="209">
        <v>-2741862</v>
      </c>
      <c r="U44" s="209">
        <v>-4673505</v>
      </c>
      <c r="V44" s="209">
        <v>-9452914</v>
      </c>
      <c r="W44" s="209">
        <v>-14126419</v>
      </c>
      <c r="X44" s="209"/>
      <c r="Y44" s="347"/>
      <c r="Z44" s="347"/>
      <c r="AA44" s="347"/>
      <c r="AB44" s="347"/>
    </row>
    <row r="45" spans="2:28" x14ac:dyDescent="0.3">
      <c r="B45" s="214">
        <v>320</v>
      </c>
      <c r="C45" s="207" t="str">
        <f>'Employer Allocations'!A38</f>
        <v>School for the Blind</v>
      </c>
      <c r="D45" s="209">
        <v>4577125</v>
      </c>
      <c r="E45" s="209">
        <v>6497123</v>
      </c>
      <c r="F45" s="209">
        <v>11074248</v>
      </c>
      <c r="G45" s="209">
        <v>25844</v>
      </c>
      <c r="H45" s="209">
        <v>23697</v>
      </c>
      <c r="I45" s="209">
        <v>112768</v>
      </c>
      <c r="J45" s="209">
        <v>357641</v>
      </c>
      <c r="K45" s="209">
        <v>519950</v>
      </c>
      <c r="L45" s="209">
        <v>320</v>
      </c>
      <c r="M45" s="209" t="s">
        <v>114</v>
      </c>
      <c r="N45" s="209">
        <v>17560</v>
      </c>
      <c r="O45" s="209">
        <v>1446536</v>
      </c>
      <c r="P45" s="209">
        <v>0</v>
      </c>
      <c r="Q45" s="209">
        <v>1564374</v>
      </c>
      <c r="R45" s="209">
        <v>3028470</v>
      </c>
      <c r="S45" s="209">
        <v>-507872</v>
      </c>
      <c r="T45" s="209">
        <v>-720912</v>
      </c>
      <c r="U45" s="209">
        <v>-1228784</v>
      </c>
      <c r="V45" s="209">
        <v>-2481760</v>
      </c>
      <c r="W45" s="209">
        <v>-3710544</v>
      </c>
      <c r="X45" s="209"/>
      <c r="Y45" s="347"/>
      <c r="Z45" s="347"/>
      <c r="AA45" s="347"/>
      <c r="AB45" s="347"/>
    </row>
    <row r="46" spans="2:28" x14ac:dyDescent="0.3">
      <c r="B46" s="214">
        <v>330</v>
      </c>
      <c r="C46" s="207" t="str">
        <f>'Employer Allocations'!A39</f>
        <v>School for the Deaf</v>
      </c>
      <c r="D46" s="209">
        <v>2632325</v>
      </c>
      <c r="E46" s="209">
        <v>3736533</v>
      </c>
      <c r="F46" s="209">
        <v>6368858</v>
      </c>
      <c r="G46" s="209">
        <v>14863</v>
      </c>
      <c r="H46" s="209">
        <v>13629</v>
      </c>
      <c r="I46" s="209">
        <v>64853</v>
      </c>
      <c r="J46" s="209">
        <v>0</v>
      </c>
      <c r="K46" s="209">
        <v>93345</v>
      </c>
      <c r="L46" s="209">
        <v>330</v>
      </c>
      <c r="M46" s="209" t="s">
        <v>115</v>
      </c>
      <c r="N46" s="209">
        <v>10099</v>
      </c>
      <c r="O46" s="209">
        <v>831909</v>
      </c>
      <c r="P46" s="209">
        <v>0</v>
      </c>
      <c r="Q46" s="209">
        <v>4689902</v>
      </c>
      <c r="R46" s="209">
        <v>5531910</v>
      </c>
      <c r="S46" s="209">
        <v>-292079</v>
      </c>
      <c r="T46" s="209">
        <v>-414601</v>
      </c>
      <c r="U46" s="209">
        <v>-706680</v>
      </c>
      <c r="V46" s="209">
        <v>-4592007</v>
      </c>
      <c r="W46" s="209">
        <v>-5298687</v>
      </c>
      <c r="X46" s="209"/>
      <c r="Y46" s="347"/>
      <c r="Z46" s="347"/>
      <c r="AA46" s="347"/>
      <c r="AB46" s="347"/>
    </row>
    <row r="47" spans="2:28" x14ac:dyDescent="0.3">
      <c r="B47" s="214">
        <v>345</v>
      </c>
      <c r="C47" s="207" t="str">
        <f>'Employer Allocations'!A40</f>
        <v>Department of Education</v>
      </c>
      <c r="D47" s="209">
        <v>24589062</v>
      </c>
      <c r="E47" s="209">
        <v>34903077</v>
      </c>
      <c r="F47" s="209">
        <v>59492139</v>
      </c>
      <c r="G47" s="209">
        <v>138838</v>
      </c>
      <c r="H47" s="209">
        <v>127307</v>
      </c>
      <c r="I47" s="209">
        <v>605806</v>
      </c>
      <c r="J47" s="209">
        <v>1144594</v>
      </c>
      <c r="K47" s="209">
        <v>2016545</v>
      </c>
      <c r="L47" s="209">
        <v>345</v>
      </c>
      <c r="M47" s="209" t="s">
        <v>116</v>
      </c>
      <c r="N47" s="209">
        <v>94336</v>
      </c>
      <c r="O47" s="209">
        <v>7771027</v>
      </c>
      <c r="P47" s="209">
        <v>0</v>
      </c>
      <c r="Q47" s="209">
        <v>6800156</v>
      </c>
      <c r="R47" s="209">
        <v>14665519</v>
      </c>
      <c r="S47" s="209">
        <v>-2728369</v>
      </c>
      <c r="T47" s="209">
        <v>-3872799</v>
      </c>
      <c r="U47" s="209">
        <v>-6601168</v>
      </c>
      <c r="V47" s="209">
        <v>-11730147</v>
      </c>
      <c r="W47" s="209">
        <v>-18331315</v>
      </c>
      <c r="X47" s="209"/>
      <c r="Y47" s="347"/>
      <c r="Z47" s="347"/>
      <c r="AA47" s="347"/>
      <c r="AB47" s="347"/>
    </row>
    <row r="48" spans="2:28" ht="12" x14ac:dyDescent="0.45">
      <c r="B48" s="214">
        <v>728</v>
      </c>
      <c r="C48" s="207" t="str">
        <f>'Employer Allocations'!A41</f>
        <v>Department of Corrections</v>
      </c>
      <c r="D48" s="211">
        <v>103604</v>
      </c>
      <c r="E48" s="211">
        <v>146973</v>
      </c>
      <c r="F48" s="211">
        <v>250577</v>
      </c>
      <c r="G48" s="211">
        <v>585</v>
      </c>
      <c r="H48" s="211">
        <v>536</v>
      </c>
      <c r="I48" s="211">
        <v>2553</v>
      </c>
      <c r="J48" s="211">
        <v>8490</v>
      </c>
      <c r="K48" s="211">
        <v>12164</v>
      </c>
      <c r="L48" s="209">
        <v>728</v>
      </c>
      <c r="M48" s="209" t="s">
        <v>113</v>
      </c>
      <c r="N48" s="211">
        <v>397</v>
      </c>
      <c r="O48" s="211">
        <v>32742</v>
      </c>
      <c r="P48" s="211">
        <v>0</v>
      </c>
      <c r="Q48" s="211">
        <v>50823</v>
      </c>
      <c r="R48" s="211">
        <v>83962</v>
      </c>
      <c r="S48" s="211">
        <v>-11496</v>
      </c>
      <c r="T48" s="211">
        <v>-16308</v>
      </c>
      <c r="U48" s="211">
        <v>-27804</v>
      </c>
      <c r="V48" s="211">
        <v>-49378</v>
      </c>
      <c r="W48" s="211">
        <v>-77182</v>
      </c>
      <c r="X48" s="209"/>
      <c r="Y48" s="347"/>
      <c r="Z48" s="347"/>
      <c r="AA48" s="347"/>
      <c r="AB48" s="347"/>
    </row>
    <row r="49" spans="2:28" x14ac:dyDescent="0.3">
      <c r="B49" s="213"/>
      <c r="C49" s="333" t="s">
        <v>723</v>
      </c>
      <c r="D49" s="208">
        <f t="shared" ref="D49:K49" si="5">SUM(D37:D48)</f>
        <v>94204025</v>
      </c>
      <c r="E49" s="208">
        <f t="shared" si="5"/>
        <v>133718384</v>
      </c>
      <c r="F49" s="208">
        <f t="shared" si="5"/>
        <v>227922409</v>
      </c>
      <c r="G49" s="208">
        <f t="shared" si="5"/>
        <v>531907</v>
      </c>
      <c r="H49" s="217">
        <f t="shared" si="5"/>
        <v>487730</v>
      </c>
      <c r="I49" s="208">
        <f t="shared" si="5"/>
        <v>2320924</v>
      </c>
      <c r="J49" s="208">
        <f t="shared" si="5"/>
        <v>4776053</v>
      </c>
      <c r="K49" s="208">
        <f t="shared" si="5"/>
        <v>8116614</v>
      </c>
      <c r="L49" s="208"/>
      <c r="M49" s="208"/>
      <c r="N49" s="208">
        <f t="shared" ref="N49:W49" si="6">SUM(N37:N48)</f>
        <v>361415</v>
      </c>
      <c r="O49" s="208">
        <f t="shared" si="6"/>
        <v>29771857</v>
      </c>
      <c r="P49" s="208">
        <f t="shared" si="6"/>
        <v>0</v>
      </c>
      <c r="Q49" s="208">
        <f t="shared" si="6"/>
        <v>29119234</v>
      </c>
      <c r="R49" s="208">
        <f t="shared" si="6"/>
        <v>59252506</v>
      </c>
      <c r="S49" s="208">
        <f t="shared" si="6"/>
        <v>-10452753</v>
      </c>
      <c r="T49" s="208">
        <f t="shared" si="6"/>
        <v>-14837214</v>
      </c>
      <c r="U49" s="208">
        <f t="shared" si="6"/>
        <v>-25289967</v>
      </c>
      <c r="V49" s="208">
        <f t="shared" si="6"/>
        <v>-49335313</v>
      </c>
      <c r="W49" s="208">
        <f t="shared" si="6"/>
        <v>-74625280</v>
      </c>
      <c r="X49" s="209"/>
      <c r="Y49" s="347"/>
      <c r="Z49" s="347"/>
      <c r="AA49" s="347"/>
      <c r="AB49" s="347"/>
    </row>
    <row r="50" spans="2:28" customFormat="1" ht="12.45" x14ac:dyDescent="0.3">
      <c r="D50" s="348"/>
      <c r="E50" s="348"/>
      <c r="F50" s="348"/>
      <c r="G50" s="348"/>
      <c r="H50" s="348"/>
      <c r="I50" s="348"/>
      <c r="J50" s="348"/>
      <c r="K50" s="348"/>
      <c r="L50" s="348">
        <f t="shared" ref="L50:M50" si="7">SUM(L37:L48)-L49</f>
        <v>4180</v>
      </c>
      <c r="M50" s="348">
        <f t="shared" si="7"/>
        <v>0</v>
      </c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209"/>
      <c r="Y50" s="347"/>
      <c r="Z50" s="347"/>
      <c r="AA50" s="347"/>
      <c r="AB50" s="347"/>
    </row>
    <row r="51" spans="2:28" ht="12.9" hidden="1" thickBot="1" x14ac:dyDescent="0.35">
      <c r="B51" s="215"/>
      <c r="C51" s="334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09"/>
      <c r="Y51" s="347"/>
      <c r="Z51" s="347"/>
      <c r="AA51" s="347"/>
      <c r="AB51" s="347"/>
    </row>
    <row r="52" spans="2:28" hidden="1" x14ac:dyDescent="0.3">
      <c r="B52" s="264"/>
      <c r="C52" s="265"/>
      <c r="D52" s="264"/>
      <c r="E52" s="266"/>
      <c r="F52" s="282"/>
      <c r="G52" s="289"/>
      <c r="H52" s="267"/>
      <c r="I52" s="268" t="s">
        <v>348</v>
      </c>
      <c r="J52" s="268"/>
      <c r="K52" s="269"/>
      <c r="L52" s="268"/>
      <c r="M52" s="268"/>
      <c r="N52" s="360" t="s">
        <v>349</v>
      </c>
      <c r="O52" s="361"/>
      <c r="P52" s="361"/>
      <c r="Q52" s="361"/>
      <c r="R52" s="362"/>
      <c r="S52" s="290"/>
      <c r="T52" s="270"/>
      <c r="U52" s="270"/>
      <c r="V52" s="270"/>
      <c r="W52" s="271"/>
      <c r="X52" s="209"/>
      <c r="Y52" s="347"/>
      <c r="Z52" s="347"/>
      <c r="AA52" s="347"/>
      <c r="AB52" s="347"/>
    </row>
    <row r="53" spans="2:28" hidden="1" x14ac:dyDescent="0.3">
      <c r="B53" s="272"/>
      <c r="C53" s="273"/>
      <c r="D53" s="272"/>
      <c r="E53" s="274"/>
      <c r="F53" s="275"/>
      <c r="G53" s="272"/>
      <c r="H53" s="274"/>
      <c r="I53" s="274"/>
      <c r="J53" s="274"/>
      <c r="K53" s="275"/>
      <c r="L53" s="274"/>
      <c r="M53" s="274"/>
      <c r="N53" s="272"/>
      <c r="O53" s="274"/>
      <c r="P53" s="274"/>
      <c r="Q53" s="274"/>
      <c r="R53" s="275"/>
      <c r="S53" s="272"/>
      <c r="T53" s="274"/>
      <c r="U53" s="274"/>
      <c r="V53" s="276" t="s">
        <v>350</v>
      </c>
      <c r="W53" s="275"/>
      <c r="X53" s="209"/>
      <c r="Y53" s="347"/>
      <c r="Z53" s="347"/>
      <c r="AA53" s="347"/>
      <c r="AB53" s="347"/>
    </row>
    <row r="54" spans="2:28" hidden="1" x14ac:dyDescent="0.3">
      <c r="B54" s="272"/>
      <c r="C54" s="273"/>
      <c r="D54" s="272"/>
      <c r="E54" s="274"/>
      <c r="F54" s="275"/>
      <c r="G54" s="272"/>
      <c r="H54" s="274"/>
      <c r="I54" s="274"/>
      <c r="J54" s="276" t="s">
        <v>351</v>
      </c>
      <c r="K54" s="275"/>
      <c r="L54" s="274"/>
      <c r="M54" s="274"/>
      <c r="N54" s="272"/>
      <c r="O54" s="274"/>
      <c r="P54" s="274"/>
      <c r="Q54" s="276" t="s">
        <v>351</v>
      </c>
      <c r="R54" s="275"/>
      <c r="S54" s="272"/>
      <c r="T54" s="274"/>
      <c r="U54" s="274"/>
      <c r="V54" s="276" t="s">
        <v>352</v>
      </c>
      <c r="W54" s="275"/>
      <c r="X54" s="209"/>
      <c r="Y54" s="347"/>
      <c r="Z54" s="347"/>
      <c r="AA54" s="347"/>
      <c r="AB54" s="347"/>
    </row>
    <row r="55" spans="2:28" hidden="1" x14ac:dyDescent="0.3">
      <c r="B55" s="272"/>
      <c r="C55" s="273"/>
      <c r="D55" s="363">
        <f>D7</f>
        <v>44012</v>
      </c>
      <c r="E55" s="364"/>
      <c r="F55" s="365"/>
      <c r="G55" s="272"/>
      <c r="H55" s="276" t="s">
        <v>353</v>
      </c>
      <c r="I55" s="276"/>
      <c r="J55" s="276" t="s">
        <v>79</v>
      </c>
      <c r="K55" s="277"/>
      <c r="L55" s="276"/>
      <c r="M55" s="276"/>
      <c r="N55" s="285"/>
      <c r="O55" s="276"/>
      <c r="P55" s="276" t="s">
        <v>353</v>
      </c>
      <c r="Q55" s="276" t="s">
        <v>79</v>
      </c>
      <c r="R55" s="277"/>
      <c r="S55" s="272"/>
      <c r="T55" s="274"/>
      <c r="U55" s="276"/>
      <c r="V55" s="276" t="s">
        <v>79</v>
      </c>
      <c r="W55" s="275"/>
      <c r="X55" s="209"/>
      <c r="Y55" s="347"/>
      <c r="Z55" s="347"/>
      <c r="AA55" s="347"/>
      <c r="AB55" s="347"/>
    </row>
    <row r="56" spans="2:28" hidden="1" x14ac:dyDescent="0.3">
      <c r="B56" s="272"/>
      <c r="C56" s="273"/>
      <c r="D56" s="363"/>
      <c r="E56" s="364"/>
      <c r="F56" s="365"/>
      <c r="G56" s="272"/>
      <c r="H56" s="276" t="s">
        <v>354</v>
      </c>
      <c r="I56" s="276"/>
      <c r="J56" s="276" t="s">
        <v>355</v>
      </c>
      <c r="K56" s="277"/>
      <c r="L56" s="276"/>
      <c r="M56" s="276"/>
      <c r="N56" s="285"/>
      <c r="O56" s="276"/>
      <c r="P56" s="276" t="s">
        <v>354</v>
      </c>
      <c r="Q56" s="276" t="s">
        <v>355</v>
      </c>
      <c r="R56" s="277"/>
      <c r="S56" s="272"/>
      <c r="T56" s="274"/>
      <c r="U56" s="276"/>
      <c r="V56" s="276" t="s">
        <v>355</v>
      </c>
      <c r="W56" s="275"/>
      <c r="X56" s="209"/>
      <c r="Y56" s="347"/>
      <c r="Z56" s="347"/>
      <c r="AA56" s="347"/>
      <c r="AB56" s="347"/>
    </row>
    <row r="57" spans="2:28" ht="11.15" hidden="1" thickBot="1" x14ac:dyDescent="0.35">
      <c r="B57" s="272"/>
      <c r="C57" s="273"/>
      <c r="D57" s="366"/>
      <c r="E57" s="367"/>
      <c r="F57" s="368"/>
      <c r="G57" s="272"/>
      <c r="H57" s="276" t="s">
        <v>356</v>
      </c>
      <c r="I57" s="276"/>
      <c r="J57" s="276" t="s">
        <v>354</v>
      </c>
      <c r="K57" s="277"/>
      <c r="L57" s="276"/>
      <c r="M57" s="276"/>
      <c r="N57" s="285"/>
      <c r="O57" s="276"/>
      <c r="P57" s="276" t="s">
        <v>356</v>
      </c>
      <c r="Q57" s="276" t="s">
        <v>354</v>
      </c>
      <c r="R57" s="277"/>
      <c r="S57" s="272"/>
      <c r="T57" s="274"/>
      <c r="U57" s="276"/>
      <c r="V57" s="276" t="s">
        <v>354</v>
      </c>
      <c r="W57" s="275"/>
      <c r="X57" s="209"/>
      <c r="Y57" s="347"/>
      <c r="Z57" s="347"/>
      <c r="AA57" s="347"/>
      <c r="AB57" s="347"/>
    </row>
    <row r="58" spans="2:28" hidden="1" x14ac:dyDescent="0.3">
      <c r="B58" s="272"/>
      <c r="C58" s="273"/>
      <c r="D58" s="283" t="s">
        <v>377</v>
      </c>
      <c r="E58" s="284" t="s">
        <v>378</v>
      </c>
      <c r="F58" s="282"/>
      <c r="G58" s="285" t="s">
        <v>346</v>
      </c>
      <c r="H58" s="276" t="s">
        <v>357</v>
      </c>
      <c r="I58" s="276"/>
      <c r="J58" s="276" t="s">
        <v>314</v>
      </c>
      <c r="K58" s="277" t="s">
        <v>64</v>
      </c>
      <c r="L58" s="276"/>
      <c r="M58" s="276"/>
      <c r="N58" s="285" t="s">
        <v>358</v>
      </c>
      <c r="O58" s="276"/>
      <c r="P58" s="276" t="s">
        <v>357</v>
      </c>
      <c r="Q58" s="276" t="s">
        <v>314</v>
      </c>
      <c r="R58" s="277" t="s">
        <v>64</v>
      </c>
      <c r="S58" s="285"/>
      <c r="T58" s="276"/>
      <c r="U58" s="276" t="s">
        <v>68</v>
      </c>
      <c r="V58" s="276" t="s">
        <v>314</v>
      </c>
      <c r="W58" s="277"/>
      <c r="X58" s="209"/>
      <c r="Y58" s="347"/>
      <c r="Z58" s="347"/>
      <c r="AA58" s="347"/>
      <c r="AB58" s="347"/>
    </row>
    <row r="59" spans="2:28" hidden="1" x14ac:dyDescent="0.3">
      <c r="B59" s="272"/>
      <c r="C59" s="273"/>
      <c r="D59" s="285" t="s">
        <v>68</v>
      </c>
      <c r="E59" s="276" t="s">
        <v>68</v>
      </c>
      <c r="F59" s="275"/>
      <c r="G59" s="285" t="s">
        <v>354</v>
      </c>
      <c r="H59" s="276" t="s">
        <v>76</v>
      </c>
      <c r="I59" s="276"/>
      <c r="J59" s="276" t="s">
        <v>80</v>
      </c>
      <c r="K59" s="277" t="s">
        <v>359</v>
      </c>
      <c r="L59" s="276"/>
      <c r="M59" s="276"/>
      <c r="N59" s="285" t="s">
        <v>354</v>
      </c>
      <c r="O59" s="276"/>
      <c r="P59" s="276" t="s">
        <v>76</v>
      </c>
      <c r="Q59" s="276" t="s">
        <v>80</v>
      </c>
      <c r="R59" s="277" t="s">
        <v>359</v>
      </c>
      <c r="S59" s="285" t="s">
        <v>337</v>
      </c>
      <c r="T59" s="276"/>
      <c r="U59" s="276" t="s">
        <v>360</v>
      </c>
      <c r="V59" s="276" t="s">
        <v>80</v>
      </c>
      <c r="W59" s="277" t="s">
        <v>303</v>
      </c>
      <c r="X59" s="209"/>
      <c r="Y59" s="347"/>
      <c r="Z59" s="347"/>
      <c r="AA59" s="347"/>
      <c r="AB59" s="347"/>
    </row>
    <row r="60" spans="2:28" hidden="1" x14ac:dyDescent="0.3">
      <c r="B60" s="272"/>
      <c r="C60" s="273"/>
      <c r="D60" s="285" t="s">
        <v>360</v>
      </c>
      <c r="E60" s="276" t="s">
        <v>360</v>
      </c>
      <c r="F60" s="277" t="s">
        <v>64</v>
      </c>
      <c r="G60" s="285" t="s">
        <v>361</v>
      </c>
      <c r="H60" s="276" t="s">
        <v>362</v>
      </c>
      <c r="I60" s="276"/>
      <c r="J60" s="276" t="s">
        <v>363</v>
      </c>
      <c r="K60" s="277" t="s">
        <v>364</v>
      </c>
      <c r="L60" s="276"/>
      <c r="M60" s="276"/>
      <c r="N60" s="285" t="s">
        <v>361</v>
      </c>
      <c r="O60" s="276"/>
      <c r="P60" s="276" t="s">
        <v>362</v>
      </c>
      <c r="Q60" s="276" t="s">
        <v>363</v>
      </c>
      <c r="R60" s="277" t="s">
        <v>365</v>
      </c>
      <c r="S60" s="285" t="s">
        <v>314</v>
      </c>
      <c r="T60" s="276" t="s">
        <v>385</v>
      </c>
      <c r="U60" s="276" t="s">
        <v>366</v>
      </c>
      <c r="V60" s="276" t="s">
        <v>363</v>
      </c>
      <c r="W60" s="277" t="s">
        <v>303</v>
      </c>
      <c r="X60" s="209"/>
      <c r="Y60" s="347"/>
      <c r="Z60" s="347"/>
      <c r="AA60" s="347"/>
      <c r="AB60" s="347"/>
    </row>
    <row r="61" spans="2:28" hidden="1" x14ac:dyDescent="0.3">
      <c r="B61" s="278"/>
      <c r="C61" s="279"/>
      <c r="D61" s="285" t="s">
        <v>367</v>
      </c>
      <c r="E61" s="276" t="s">
        <v>367</v>
      </c>
      <c r="F61" s="277" t="s">
        <v>367</v>
      </c>
      <c r="G61" s="285" t="s">
        <v>357</v>
      </c>
      <c r="H61" s="276" t="s">
        <v>368</v>
      </c>
      <c r="I61" s="276" t="s">
        <v>369</v>
      </c>
      <c r="J61" s="276" t="s">
        <v>360</v>
      </c>
      <c r="K61" s="277" t="s">
        <v>370</v>
      </c>
      <c r="L61" s="276"/>
      <c r="M61" s="276"/>
      <c r="N61" s="285" t="s">
        <v>357</v>
      </c>
      <c r="O61" s="276" t="s">
        <v>369</v>
      </c>
      <c r="P61" s="276" t="s">
        <v>368</v>
      </c>
      <c r="Q61" s="276" t="s">
        <v>360</v>
      </c>
      <c r="R61" s="277" t="s">
        <v>370</v>
      </c>
      <c r="S61" s="285" t="s">
        <v>60</v>
      </c>
      <c r="T61" s="276" t="s">
        <v>374</v>
      </c>
      <c r="U61" s="276" t="s">
        <v>60</v>
      </c>
      <c r="V61" s="276" t="s">
        <v>360</v>
      </c>
      <c r="W61" s="277" t="s">
        <v>386</v>
      </c>
      <c r="X61" s="209"/>
      <c r="Y61" s="347"/>
      <c r="Z61" s="347"/>
      <c r="AA61" s="347"/>
      <c r="AB61" s="347"/>
    </row>
    <row r="62" spans="2:28" ht="11.15" hidden="1" thickBot="1" x14ac:dyDescent="0.35">
      <c r="B62" s="280" t="s">
        <v>379</v>
      </c>
      <c r="C62" s="281" t="s">
        <v>314</v>
      </c>
      <c r="D62" s="286" t="s">
        <v>72</v>
      </c>
      <c r="E62" s="287" t="s">
        <v>72</v>
      </c>
      <c r="F62" s="288" t="s">
        <v>72</v>
      </c>
      <c r="G62" s="286" t="s">
        <v>73</v>
      </c>
      <c r="H62" s="287" t="s">
        <v>371</v>
      </c>
      <c r="I62" s="287" t="s">
        <v>372</v>
      </c>
      <c r="J62" s="287" t="s">
        <v>80</v>
      </c>
      <c r="K62" s="288" t="s">
        <v>373</v>
      </c>
      <c r="L62" s="287"/>
      <c r="M62" s="287"/>
      <c r="N62" s="286" t="s">
        <v>73</v>
      </c>
      <c r="O62" s="287" t="s">
        <v>372</v>
      </c>
      <c r="P62" s="287" t="s">
        <v>371</v>
      </c>
      <c r="Q62" s="287" t="s">
        <v>80</v>
      </c>
      <c r="R62" s="288" t="s">
        <v>373</v>
      </c>
      <c r="S62" s="286" t="s">
        <v>344</v>
      </c>
      <c r="T62" s="287" t="s">
        <v>336</v>
      </c>
      <c r="U62" s="287" t="s">
        <v>344</v>
      </c>
      <c r="V62" s="287" t="s">
        <v>80</v>
      </c>
      <c r="W62" s="288" t="s">
        <v>344</v>
      </c>
      <c r="X62" s="209"/>
      <c r="Y62" s="347"/>
      <c r="Z62" s="347"/>
      <c r="AA62" s="347"/>
      <c r="AB62" s="347"/>
    </row>
    <row r="63" spans="2:28" hidden="1" x14ac:dyDescent="0.3">
      <c r="B63" s="213"/>
      <c r="C63" s="207"/>
      <c r="D63" s="209"/>
      <c r="E63" s="209"/>
      <c r="F63" s="209"/>
      <c r="G63" s="209"/>
      <c r="H63" s="209"/>
      <c r="I63" s="209"/>
      <c r="J63" s="209"/>
      <c r="K63" s="216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347"/>
      <c r="Z63" s="347"/>
      <c r="AA63" s="347"/>
      <c r="AB63" s="347"/>
    </row>
    <row r="64" spans="2:28" ht="13.5" customHeight="1" x14ac:dyDescent="0.3">
      <c r="B64" s="213"/>
      <c r="C64" s="372" t="str">
        <f>'Employer Allocations'!A48</f>
        <v>Local School Districts and Educational Cooperatives</v>
      </c>
      <c r="D64" s="372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347"/>
      <c r="Z64" s="347"/>
      <c r="AA64" s="347"/>
      <c r="AB64" s="347"/>
    </row>
    <row r="65" spans="2:28" x14ac:dyDescent="0.3">
      <c r="B65" s="214">
        <v>1</v>
      </c>
      <c r="C65" s="207" t="str">
        <f>'Employer Allocations'!A49</f>
        <v>Adair County Schools</v>
      </c>
      <c r="D65" s="208">
        <v>0</v>
      </c>
      <c r="E65" s="208">
        <v>45654893</v>
      </c>
      <c r="F65" s="208">
        <v>45654893</v>
      </c>
      <c r="G65" s="293">
        <v>0</v>
      </c>
      <c r="H65" s="293">
        <v>0</v>
      </c>
      <c r="I65" s="293">
        <v>0</v>
      </c>
      <c r="J65" s="293">
        <v>0</v>
      </c>
      <c r="K65" s="293">
        <v>0</v>
      </c>
      <c r="L65" s="293"/>
      <c r="M65" s="293"/>
      <c r="N65" s="293">
        <v>0</v>
      </c>
      <c r="O65" s="293">
        <v>0</v>
      </c>
      <c r="P65" s="293">
        <v>0</v>
      </c>
      <c r="Q65" s="293">
        <v>0</v>
      </c>
      <c r="R65" s="293">
        <v>0</v>
      </c>
      <c r="S65" s="293">
        <v>0</v>
      </c>
      <c r="T65" s="208">
        <v>-5065806</v>
      </c>
      <c r="U65" s="208">
        <v>-5065806</v>
      </c>
      <c r="V65" s="208">
        <v>0</v>
      </c>
      <c r="W65" s="208">
        <v>-5065806</v>
      </c>
      <c r="X65" s="209"/>
      <c r="Y65" s="347"/>
      <c r="Z65" s="347"/>
      <c r="AA65" s="347"/>
      <c r="AB65" s="347"/>
    </row>
    <row r="66" spans="2:28" x14ac:dyDescent="0.3">
      <c r="B66" s="214">
        <v>2</v>
      </c>
      <c r="C66" s="207" t="str">
        <f>'Employer Allocations'!A50</f>
        <v>Allen County Schools</v>
      </c>
      <c r="D66" s="294">
        <v>0</v>
      </c>
      <c r="E66" s="209">
        <v>52439157</v>
      </c>
      <c r="F66" s="209">
        <v>52439157</v>
      </c>
      <c r="G66" s="294">
        <v>0</v>
      </c>
      <c r="H66" s="294">
        <v>0</v>
      </c>
      <c r="I66" s="294">
        <v>0</v>
      </c>
      <c r="J66" s="294">
        <v>0</v>
      </c>
      <c r="K66" s="294">
        <v>0</v>
      </c>
      <c r="L66" s="294"/>
      <c r="M66" s="294"/>
      <c r="N66" s="294">
        <v>0</v>
      </c>
      <c r="O66" s="294">
        <v>0</v>
      </c>
      <c r="P66" s="294">
        <v>0</v>
      </c>
      <c r="Q66" s="294">
        <v>0</v>
      </c>
      <c r="R66" s="294">
        <v>0</v>
      </c>
      <c r="S66" s="294">
        <v>0</v>
      </c>
      <c r="T66" s="209">
        <v>-5818579</v>
      </c>
      <c r="U66" s="209">
        <v>-5818579</v>
      </c>
      <c r="V66" s="294">
        <v>0</v>
      </c>
      <c r="W66" s="209">
        <v>-5818579</v>
      </c>
      <c r="X66" s="209"/>
      <c r="Y66" s="347"/>
      <c r="Z66" s="347"/>
      <c r="AA66" s="347"/>
      <c r="AB66" s="347"/>
    </row>
    <row r="67" spans="2:28" x14ac:dyDescent="0.3">
      <c r="B67" s="214">
        <v>3</v>
      </c>
      <c r="C67" s="207" t="str">
        <f>'Employer Allocations'!A51</f>
        <v>Anderson County Schools</v>
      </c>
      <c r="D67" s="294">
        <v>0</v>
      </c>
      <c r="E67" s="209">
        <v>64621864</v>
      </c>
      <c r="F67" s="209">
        <v>64621864</v>
      </c>
      <c r="G67" s="294">
        <v>0</v>
      </c>
      <c r="H67" s="294">
        <v>0</v>
      </c>
      <c r="I67" s="294">
        <v>0</v>
      </c>
      <c r="J67" s="294">
        <v>0</v>
      </c>
      <c r="K67" s="294">
        <v>0</v>
      </c>
      <c r="L67" s="294"/>
      <c r="M67" s="294"/>
      <c r="N67" s="294">
        <v>0</v>
      </c>
      <c r="O67" s="294">
        <v>0</v>
      </c>
      <c r="P67" s="294">
        <v>0</v>
      </c>
      <c r="Q67" s="294">
        <v>0</v>
      </c>
      <c r="R67" s="294">
        <v>0</v>
      </c>
      <c r="S67" s="294">
        <v>0</v>
      </c>
      <c r="T67" s="209">
        <v>-7170356</v>
      </c>
      <c r="U67" s="209">
        <v>-7170356</v>
      </c>
      <c r="V67" s="294">
        <v>0</v>
      </c>
      <c r="W67" s="209">
        <v>-7170356</v>
      </c>
      <c r="X67" s="209"/>
      <c r="Y67" s="347"/>
      <c r="Z67" s="347"/>
      <c r="AA67" s="347"/>
      <c r="AB67" s="347"/>
    </row>
    <row r="68" spans="2:28" x14ac:dyDescent="0.3">
      <c r="B68" s="214">
        <v>4</v>
      </c>
      <c r="C68" s="207" t="str">
        <f>'Employer Allocations'!A52</f>
        <v>Ballard County Schools</v>
      </c>
      <c r="D68" s="294">
        <v>0</v>
      </c>
      <c r="E68" s="209">
        <v>21322785</v>
      </c>
      <c r="F68" s="209">
        <v>21322785</v>
      </c>
      <c r="G68" s="294">
        <v>0</v>
      </c>
      <c r="H68" s="294">
        <v>0</v>
      </c>
      <c r="I68" s="294">
        <v>0</v>
      </c>
      <c r="J68" s="294">
        <v>0</v>
      </c>
      <c r="K68" s="294">
        <v>0</v>
      </c>
      <c r="L68" s="294"/>
      <c r="M68" s="294"/>
      <c r="N68" s="294">
        <v>0</v>
      </c>
      <c r="O68" s="294">
        <v>0</v>
      </c>
      <c r="P68" s="294">
        <v>0</v>
      </c>
      <c r="Q68" s="294">
        <v>0</v>
      </c>
      <c r="R68" s="294">
        <v>0</v>
      </c>
      <c r="S68" s="294">
        <v>0</v>
      </c>
      <c r="T68" s="209">
        <v>-2365948</v>
      </c>
      <c r="U68" s="209">
        <v>-2365948</v>
      </c>
      <c r="V68" s="294">
        <v>0</v>
      </c>
      <c r="W68" s="209">
        <v>-2365948</v>
      </c>
      <c r="X68" s="209"/>
      <c r="Y68" s="347"/>
      <c r="Z68" s="347"/>
      <c r="AA68" s="347"/>
      <c r="AB68" s="347"/>
    </row>
    <row r="69" spans="2:28" x14ac:dyDescent="0.3">
      <c r="B69" s="214">
        <v>5</v>
      </c>
      <c r="C69" s="207" t="str">
        <f>'Employer Allocations'!A53</f>
        <v>Barren County Schools</v>
      </c>
      <c r="D69" s="294">
        <v>0</v>
      </c>
      <c r="E69" s="209">
        <v>90373242</v>
      </c>
      <c r="F69" s="209">
        <v>90373242</v>
      </c>
      <c r="G69" s="294">
        <v>0</v>
      </c>
      <c r="H69" s="294">
        <v>0</v>
      </c>
      <c r="I69" s="294">
        <v>0</v>
      </c>
      <c r="J69" s="294">
        <v>0</v>
      </c>
      <c r="K69" s="294">
        <v>0</v>
      </c>
      <c r="L69" s="294"/>
      <c r="M69" s="294"/>
      <c r="N69" s="294">
        <v>0</v>
      </c>
      <c r="O69" s="294">
        <v>0</v>
      </c>
      <c r="P69" s="294">
        <v>0</v>
      </c>
      <c r="Q69" s="294">
        <v>0</v>
      </c>
      <c r="R69" s="294">
        <v>0</v>
      </c>
      <c r="S69" s="294">
        <v>0</v>
      </c>
      <c r="T69" s="209">
        <v>-10027694</v>
      </c>
      <c r="U69" s="209">
        <v>-10027694</v>
      </c>
      <c r="V69" s="294">
        <v>0</v>
      </c>
      <c r="W69" s="209">
        <v>-10027694</v>
      </c>
      <c r="X69" s="209"/>
      <c r="Y69" s="347"/>
      <c r="Z69" s="347"/>
      <c r="AA69" s="347"/>
      <c r="AB69" s="347"/>
    </row>
    <row r="70" spans="2:28" x14ac:dyDescent="0.3">
      <c r="B70" s="214">
        <v>6</v>
      </c>
      <c r="C70" s="207" t="str">
        <f>'Employer Allocations'!A54</f>
        <v>Bath County Schools</v>
      </c>
      <c r="D70" s="294">
        <v>0</v>
      </c>
      <c r="E70" s="209">
        <v>33330173</v>
      </c>
      <c r="F70" s="209">
        <v>33330173</v>
      </c>
      <c r="G70" s="294">
        <v>0</v>
      </c>
      <c r="H70" s="294">
        <v>0</v>
      </c>
      <c r="I70" s="294">
        <v>0</v>
      </c>
      <c r="J70" s="294">
        <v>0</v>
      </c>
      <c r="K70" s="294">
        <v>0</v>
      </c>
      <c r="L70" s="294"/>
      <c r="M70" s="294"/>
      <c r="N70" s="294">
        <v>0</v>
      </c>
      <c r="O70" s="294">
        <v>0</v>
      </c>
      <c r="P70" s="294">
        <v>0</v>
      </c>
      <c r="Q70" s="294">
        <v>0</v>
      </c>
      <c r="R70" s="294">
        <v>0</v>
      </c>
      <c r="S70" s="294">
        <v>0</v>
      </c>
      <c r="T70" s="209">
        <v>-3698272</v>
      </c>
      <c r="U70" s="209">
        <v>-3698272</v>
      </c>
      <c r="V70" s="294">
        <v>0</v>
      </c>
      <c r="W70" s="209">
        <v>-3698272</v>
      </c>
      <c r="X70" s="209"/>
      <c r="Y70" s="347"/>
      <c r="Z70" s="347"/>
      <c r="AA70" s="347"/>
      <c r="AB70" s="347"/>
    </row>
    <row r="71" spans="2:28" x14ac:dyDescent="0.3">
      <c r="B71" s="214">
        <v>7</v>
      </c>
      <c r="C71" s="207" t="str">
        <f>'Employer Allocations'!A55</f>
        <v>Bell County Schools</v>
      </c>
      <c r="D71" s="294">
        <v>0</v>
      </c>
      <c r="E71" s="209">
        <v>46158171</v>
      </c>
      <c r="F71" s="209">
        <v>46158171</v>
      </c>
      <c r="G71" s="294">
        <v>0</v>
      </c>
      <c r="H71" s="294">
        <v>0</v>
      </c>
      <c r="I71" s="294">
        <v>0</v>
      </c>
      <c r="J71" s="294">
        <v>0</v>
      </c>
      <c r="K71" s="294">
        <v>0</v>
      </c>
      <c r="L71" s="294"/>
      <c r="M71" s="294"/>
      <c r="N71" s="294">
        <v>0</v>
      </c>
      <c r="O71" s="294">
        <v>0</v>
      </c>
      <c r="P71" s="294">
        <v>0</v>
      </c>
      <c r="Q71" s="294">
        <v>0</v>
      </c>
      <c r="R71" s="294">
        <v>0</v>
      </c>
      <c r="S71" s="294">
        <v>0</v>
      </c>
      <c r="T71" s="209">
        <v>-5121649</v>
      </c>
      <c r="U71" s="209">
        <v>-5121649</v>
      </c>
      <c r="V71" s="294">
        <v>0</v>
      </c>
      <c r="W71" s="209">
        <v>-5121649</v>
      </c>
      <c r="X71" s="209"/>
      <c r="Y71" s="347"/>
      <c r="Z71" s="347"/>
      <c r="AA71" s="347"/>
      <c r="AB71" s="347"/>
    </row>
    <row r="72" spans="2:28" x14ac:dyDescent="0.3">
      <c r="B72" s="214">
        <v>8</v>
      </c>
      <c r="C72" s="207" t="str">
        <f>'Employer Allocations'!A56</f>
        <v>Boone County Schools</v>
      </c>
      <c r="D72" s="294">
        <v>0</v>
      </c>
      <c r="E72" s="209">
        <v>455108537</v>
      </c>
      <c r="F72" s="209">
        <v>455108537</v>
      </c>
      <c r="G72" s="294">
        <v>0</v>
      </c>
      <c r="H72" s="294">
        <v>0</v>
      </c>
      <c r="I72" s="294">
        <v>0</v>
      </c>
      <c r="J72" s="294">
        <v>0</v>
      </c>
      <c r="K72" s="294">
        <v>0</v>
      </c>
      <c r="L72" s="294"/>
      <c r="M72" s="294"/>
      <c r="N72" s="294">
        <v>0</v>
      </c>
      <c r="O72" s="294">
        <v>0</v>
      </c>
      <c r="P72" s="294">
        <v>0</v>
      </c>
      <c r="Q72" s="294">
        <v>0</v>
      </c>
      <c r="R72" s="294">
        <v>0</v>
      </c>
      <c r="S72" s="294">
        <v>0</v>
      </c>
      <c r="T72" s="209">
        <v>-50498237</v>
      </c>
      <c r="U72" s="209">
        <v>-50498237</v>
      </c>
      <c r="V72" s="294">
        <v>0</v>
      </c>
      <c r="W72" s="209">
        <v>-50498237</v>
      </c>
      <c r="X72" s="209"/>
      <c r="Y72" s="347"/>
      <c r="Z72" s="347"/>
      <c r="AA72" s="347"/>
      <c r="AB72" s="347"/>
    </row>
    <row r="73" spans="2:28" x14ac:dyDescent="0.3">
      <c r="B73" s="214">
        <v>9</v>
      </c>
      <c r="C73" s="207" t="str">
        <f>'Employer Allocations'!A57</f>
        <v>Bourbon County Schools</v>
      </c>
      <c r="D73" s="294">
        <v>0</v>
      </c>
      <c r="E73" s="209">
        <v>48433907</v>
      </c>
      <c r="F73" s="209">
        <v>48433907</v>
      </c>
      <c r="G73" s="294">
        <v>0</v>
      </c>
      <c r="H73" s="294">
        <v>0</v>
      </c>
      <c r="I73" s="294">
        <v>0</v>
      </c>
      <c r="J73" s="294">
        <v>0</v>
      </c>
      <c r="K73" s="294">
        <v>0</v>
      </c>
      <c r="L73" s="294"/>
      <c r="M73" s="294"/>
      <c r="N73" s="294">
        <v>0</v>
      </c>
      <c r="O73" s="294">
        <v>0</v>
      </c>
      <c r="P73" s="294">
        <v>0</v>
      </c>
      <c r="Q73" s="294">
        <v>0</v>
      </c>
      <c r="R73" s="294">
        <v>0</v>
      </c>
      <c r="S73" s="294">
        <v>0</v>
      </c>
      <c r="T73" s="209">
        <v>-5374162</v>
      </c>
      <c r="U73" s="209">
        <v>-5374162</v>
      </c>
      <c r="V73" s="294">
        <v>0</v>
      </c>
      <c r="W73" s="209">
        <v>-5374162</v>
      </c>
      <c r="X73" s="209"/>
      <c r="Y73" s="347"/>
      <c r="Z73" s="347"/>
      <c r="AA73" s="347"/>
      <c r="AB73" s="347"/>
    </row>
    <row r="74" spans="2:28" x14ac:dyDescent="0.3">
      <c r="B74" s="214">
        <v>10</v>
      </c>
      <c r="C74" s="207" t="str">
        <f>'Employer Allocations'!A58</f>
        <v>Boyd County Schools</v>
      </c>
      <c r="D74" s="294">
        <v>0</v>
      </c>
      <c r="E74" s="209">
        <v>64458876</v>
      </c>
      <c r="F74" s="209">
        <v>64458876</v>
      </c>
      <c r="G74" s="294">
        <v>0</v>
      </c>
      <c r="H74" s="294">
        <v>0</v>
      </c>
      <c r="I74" s="294">
        <v>0</v>
      </c>
      <c r="J74" s="294">
        <v>0</v>
      </c>
      <c r="K74" s="294">
        <v>0</v>
      </c>
      <c r="L74" s="294"/>
      <c r="M74" s="294"/>
      <c r="N74" s="294">
        <v>0</v>
      </c>
      <c r="O74" s="294">
        <v>0</v>
      </c>
      <c r="P74" s="294">
        <v>0</v>
      </c>
      <c r="Q74" s="294">
        <v>0</v>
      </c>
      <c r="R74" s="294">
        <v>0</v>
      </c>
      <c r="S74" s="294">
        <v>0</v>
      </c>
      <c r="T74" s="209">
        <v>-7152271</v>
      </c>
      <c r="U74" s="209">
        <v>-7152271</v>
      </c>
      <c r="V74" s="294">
        <v>0</v>
      </c>
      <c r="W74" s="209">
        <v>-7152271</v>
      </c>
      <c r="X74" s="209"/>
      <c r="Y74" s="347"/>
      <c r="Z74" s="347"/>
      <c r="AA74" s="347"/>
      <c r="AB74" s="347"/>
    </row>
    <row r="75" spans="2:28" x14ac:dyDescent="0.3">
      <c r="B75" s="214">
        <v>11</v>
      </c>
      <c r="C75" s="207" t="str">
        <f>'Employer Allocations'!A59</f>
        <v>Boyle County Schools</v>
      </c>
      <c r="D75" s="294">
        <v>0</v>
      </c>
      <c r="E75" s="209">
        <v>60245143</v>
      </c>
      <c r="F75" s="209">
        <v>60245143</v>
      </c>
      <c r="G75" s="294">
        <v>0</v>
      </c>
      <c r="H75" s="294">
        <v>0</v>
      </c>
      <c r="I75" s="294">
        <v>0</v>
      </c>
      <c r="J75" s="294">
        <v>0</v>
      </c>
      <c r="K75" s="294">
        <v>0</v>
      </c>
      <c r="L75" s="294"/>
      <c r="M75" s="294"/>
      <c r="N75" s="294">
        <v>0</v>
      </c>
      <c r="O75" s="294">
        <v>0</v>
      </c>
      <c r="P75" s="294">
        <v>0</v>
      </c>
      <c r="Q75" s="294">
        <v>0</v>
      </c>
      <c r="R75" s="294">
        <v>0</v>
      </c>
      <c r="S75" s="294">
        <v>0</v>
      </c>
      <c r="T75" s="209">
        <v>-6684721</v>
      </c>
      <c r="U75" s="209">
        <v>-6684721</v>
      </c>
      <c r="V75" s="294">
        <v>0</v>
      </c>
      <c r="W75" s="209">
        <v>-6684721</v>
      </c>
      <c r="X75" s="209"/>
      <c r="Y75" s="347"/>
      <c r="Z75" s="347"/>
      <c r="AA75" s="347"/>
      <c r="AB75" s="347"/>
    </row>
    <row r="76" spans="2:28" x14ac:dyDescent="0.3">
      <c r="B76" s="214">
        <v>12</v>
      </c>
      <c r="C76" s="207" t="str">
        <f>'Employer Allocations'!A60</f>
        <v>Bracken County Schools</v>
      </c>
      <c r="D76" s="294">
        <v>0</v>
      </c>
      <c r="E76" s="209">
        <v>22767282</v>
      </c>
      <c r="F76" s="209">
        <v>22767282</v>
      </c>
      <c r="G76" s="294">
        <v>0</v>
      </c>
      <c r="H76" s="294">
        <v>0</v>
      </c>
      <c r="I76" s="294">
        <v>0</v>
      </c>
      <c r="J76" s="294">
        <v>0</v>
      </c>
      <c r="K76" s="294">
        <v>0</v>
      </c>
      <c r="L76" s="294"/>
      <c r="M76" s="294"/>
      <c r="N76" s="294">
        <v>0</v>
      </c>
      <c r="O76" s="294">
        <v>0</v>
      </c>
      <c r="P76" s="294">
        <v>0</v>
      </c>
      <c r="Q76" s="294">
        <v>0</v>
      </c>
      <c r="R76" s="294">
        <v>0</v>
      </c>
      <c r="S76" s="294">
        <v>0</v>
      </c>
      <c r="T76" s="209">
        <v>-2526227</v>
      </c>
      <c r="U76" s="209">
        <v>-2526227</v>
      </c>
      <c r="V76" s="294">
        <v>0</v>
      </c>
      <c r="W76" s="209">
        <v>-2526227</v>
      </c>
      <c r="X76" s="209"/>
      <c r="Y76" s="347"/>
      <c r="Z76" s="347"/>
      <c r="AA76" s="347"/>
      <c r="AB76" s="347"/>
    </row>
    <row r="77" spans="2:28" x14ac:dyDescent="0.3">
      <c r="B77" s="214">
        <v>13</v>
      </c>
      <c r="C77" s="207" t="str">
        <f>'Employer Allocations'!A61</f>
        <v>Breathitt County Schools</v>
      </c>
      <c r="D77" s="294">
        <v>0</v>
      </c>
      <c r="E77" s="209">
        <v>31871503</v>
      </c>
      <c r="F77" s="209">
        <v>31871503</v>
      </c>
      <c r="G77" s="294">
        <v>0</v>
      </c>
      <c r="H77" s="294">
        <v>0</v>
      </c>
      <c r="I77" s="294">
        <v>0</v>
      </c>
      <c r="J77" s="294">
        <v>0</v>
      </c>
      <c r="K77" s="294">
        <v>0</v>
      </c>
      <c r="L77" s="294"/>
      <c r="M77" s="294"/>
      <c r="N77" s="294">
        <v>0</v>
      </c>
      <c r="O77" s="294">
        <v>0</v>
      </c>
      <c r="P77" s="294">
        <v>0</v>
      </c>
      <c r="Q77" s="294">
        <v>0</v>
      </c>
      <c r="R77" s="294">
        <v>0</v>
      </c>
      <c r="S77" s="294">
        <v>0</v>
      </c>
      <c r="T77" s="209">
        <v>-3536419</v>
      </c>
      <c r="U77" s="209">
        <v>-3536419</v>
      </c>
      <c r="V77" s="294">
        <v>0</v>
      </c>
      <c r="W77" s="209">
        <v>-3536419</v>
      </c>
      <c r="X77" s="209"/>
      <c r="Y77" s="347"/>
      <c r="Z77" s="347"/>
      <c r="AA77" s="347"/>
      <c r="AB77" s="347"/>
    </row>
    <row r="78" spans="2:28" x14ac:dyDescent="0.3">
      <c r="B78" s="214">
        <v>14</v>
      </c>
      <c r="C78" s="207" t="str">
        <f>'Employer Allocations'!A62</f>
        <v>Breckinridge County Schools</v>
      </c>
      <c r="D78" s="294">
        <v>0</v>
      </c>
      <c r="E78" s="209">
        <v>48456017</v>
      </c>
      <c r="F78" s="209">
        <v>48456017</v>
      </c>
      <c r="G78" s="294">
        <v>0</v>
      </c>
      <c r="H78" s="294">
        <v>0</v>
      </c>
      <c r="I78" s="294">
        <v>0</v>
      </c>
      <c r="J78" s="294">
        <v>0</v>
      </c>
      <c r="K78" s="294">
        <v>0</v>
      </c>
      <c r="L78" s="294"/>
      <c r="M78" s="294"/>
      <c r="N78" s="294">
        <v>0</v>
      </c>
      <c r="O78" s="294">
        <v>0</v>
      </c>
      <c r="P78" s="294">
        <v>0</v>
      </c>
      <c r="Q78" s="294">
        <v>0</v>
      </c>
      <c r="R78" s="294">
        <v>0</v>
      </c>
      <c r="S78" s="294">
        <v>0</v>
      </c>
      <c r="T78" s="209">
        <v>-5376615</v>
      </c>
      <c r="U78" s="209">
        <v>-5376615</v>
      </c>
      <c r="V78" s="294">
        <v>0</v>
      </c>
      <c r="W78" s="209">
        <v>-5376615</v>
      </c>
      <c r="X78" s="209"/>
      <c r="Y78" s="347"/>
      <c r="Z78" s="347"/>
      <c r="AA78" s="347"/>
      <c r="AB78" s="347"/>
    </row>
    <row r="79" spans="2:28" x14ac:dyDescent="0.3">
      <c r="B79" s="214">
        <v>15</v>
      </c>
      <c r="C79" s="207" t="str">
        <f>'Employer Allocations'!A63</f>
        <v>Bullitt County Schools</v>
      </c>
      <c r="D79" s="294">
        <v>0</v>
      </c>
      <c r="E79" s="209">
        <v>255049121</v>
      </c>
      <c r="F79" s="209">
        <v>255049121</v>
      </c>
      <c r="G79" s="294">
        <v>0</v>
      </c>
      <c r="H79" s="294">
        <v>0</v>
      </c>
      <c r="I79" s="294">
        <v>0</v>
      </c>
      <c r="J79" s="294">
        <v>0</v>
      </c>
      <c r="K79" s="294">
        <v>0</v>
      </c>
      <c r="L79" s="294"/>
      <c r="M79" s="294"/>
      <c r="N79" s="294">
        <v>0</v>
      </c>
      <c r="O79" s="294">
        <v>0</v>
      </c>
      <c r="P79" s="294">
        <v>0</v>
      </c>
      <c r="Q79" s="294">
        <v>0</v>
      </c>
      <c r="R79" s="294">
        <v>0</v>
      </c>
      <c r="S79" s="294">
        <v>0</v>
      </c>
      <c r="T79" s="209">
        <v>-28299910</v>
      </c>
      <c r="U79" s="209">
        <v>-28299910</v>
      </c>
      <c r="V79" s="294">
        <v>0</v>
      </c>
      <c r="W79" s="209">
        <v>-28299910</v>
      </c>
      <c r="X79" s="209"/>
      <c r="Y79" s="347"/>
      <c r="Z79" s="347"/>
      <c r="AA79" s="347"/>
      <c r="AB79" s="347"/>
    </row>
    <row r="80" spans="2:28" x14ac:dyDescent="0.3">
      <c r="B80" s="214">
        <v>16</v>
      </c>
      <c r="C80" s="207" t="str">
        <f>'Employer Allocations'!A64</f>
        <v>Butler County Schools</v>
      </c>
      <c r="D80" s="294">
        <v>0</v>
      </c>
      <c r="E80" s="209">
        <v>38008918</v>
      </c>
      <c r="F80" s="209">
        <v>38008918</v>
      </c>
      <c r="G80" s="294">
        <v>0</v>
      </c>
      <c r="H80" s="294">
        <v>0</v>
      </c>
      <c r="I80" s="294">
        <v>0</v>
      </c>
      <c r="J80" s="294">
        <v>0</v>
      </c>
      <c r="K80" s="294">
        <v>0</v>
      </c>
      <c r="L80" s="294"/>
      <c r="M80" s="294"/>
      <c r="N80" s="294">
        <v>0</v>
      </c>
      <c r="O80" s="294">
        <v>0</v>
      </c>
      <c r="P80" s="294">
        <v>0</v>
      </c>
      <c r="Q80" s="294">
        <v>0</v>
      </c>
      <c r="R80" s="294">
        <v>0</v>
      </c>
      <c r="S80" s="294">
        <v>0</v>
      </c>
      <c r="T80" s="209">
        <v>-4217419</v>
      </c>
      <c r="U80" s="209">
        <v>-4217419</v>
      </c>
      <c r="V80" s="294">
        <v>0</v>
      </c>
      <c r="W80" s="209">
        <v>-4217419</v>
      </c>
      <c r="X80" s="209"/>
      <c r="Y80" s="347"/>
      <c r="Z80" s="347"/>
      <c r="AA80" s="347"/>
      <c r="AB80" s="347"/>
    </row>
    <row r="81" spans="2:28" x14ac:dyDescent="0.3">
      <c r="B81" s="214">
        <v>17</v>
      </c>
      <c r="C81" s="207" t="str">
        <f>'Employer Allocations'!A65</f>
        <v>Caldwell County Schools</v>
      </c>
      <c r="D81" s="294">
        <v>0</v>
      </c>
      <c r="E81" s="209">
        <v>31761238</v>
      </c>
      <c r="F81" s="209">
        <v>31761238</v>
      </c>
      <c r="G81" s="294">
        <v>0</v>
      </c>
      <c r="H81" s="294">
        <v>0</v>
      </c>
      <c r="I81" s="294">
        <v>0</v>
      </c>
      <c r="J81" s="294">
        <v>0</v>
      </c>
      <c r="K81" s="294">
        <v>0</v>
      </c>
      <c r="L81" s="294"/>
      <c r="M81" s="294"/>
      <c r="N81" s="294">
        <v>0</v>
      </c>
      <c r="O81" s="294">
        <v>0</v>
      </c>
      <c r="P81" s="294">
        <v>0</v>
      </c>
      <c r="Q81" s="294">
        <v>0</v>
      </c>
      <c r="R81" s="294">
        <v>0</v>
      </c>
      <c r="S81" s="294">
        <v>0</v>
      </c>
      <c r="T81" s="209">
        <v>-3524185</v>
      </c>
      <c r="U81" s="209">
        <v>-3524185</v>
      </c>
      <c r="V81" s="294">
        <v>0</v>
      </c>
      <c r="W81" s="209">
        <v>-3524185</v>
      </c>
      <c r="X81" s="209"/>
      <c r="Y81" s="347"/>
      <c r="Z81" s="347"/>
      <c r="AA81" s="347"/>
      <c r="AB81" s="347"/>
    </row>
    <row r="82" spans="2:28" x14ac:dyDescent="0.3">
      <c r="B82" s="214">
        <v>18</v>
      </c>
      <c r="C82" s="207" t="str">
        <f>'Employer Allocations'!A66</f>
        <v>Calloway County Schools</v>
      </c>
      <c r="D82" s="294">
        <v>0</v>
      </c>
      <c r="E82" s="209">
        <v>54362556</v>
      </c>
      <c r="F82" s="209">
        <v>54362556</v>
      </c>
      <c r="G82" s="294">
        <v>0</v>
      </c>
      <c r="H82" s="294">
        <v>0</v>
      </c>
      <c r="I82" s="294">
        <v>0</v>
      </c>
      <c r="J82" s="294">
        <v>0</v>
      </c>
      <c r="K82" s="294">
        <v>0</v>
      </c>
      <c r="L82" s="294"/>
      <c r="M82" s="294"/>
      <c r="N82" s="294">
        <v>0</v>
      </c>
      <c r="O82" s="294">
        <v>0</v>
      </c>
      <c r="P82" s="294">
        <v>0</v>
      </c>
      <c r="Q82" s="294">
        <v>0</v>
      </c>
      <c r="R82" s="294">
        <v>0</v>
      </c>
      <c r="S82" s="294">
        <v>0</v>
      </c>
      <c r="T82" s="209">
        <v>-6031997</v>
      </c>
      <c r="U82" s="209">
        <v>-6031997</v>
      </c>
      <c r="V82" s="294">
        <v>0</v>
      </c>
      <c r="W82" s="209">
        <v>-6031997</v>
      </c>
      <c r="X82" s="209"/>
      <c r="Y82" s="347"/>
      <c r="Z82" s="347"/>
      <c r="AA82" s="347"/>
      <c r="AB82" s="347"/>
    </row>
    <row r="83" spans="2:28" x14ac:dyDescent="0.3">
      <c r="B83" s="214">
        <v>19</v>
      </c>
      <c r="C83" s="207" t="str">
        <f>'Employer Allocations'!A67</f>
        <v>Campbell County Schools</v>
      </c>
      <c r="D83" s="294">
        <v>0</v>
      </c>
      <c r="E83" s="209">
        <v>101473426</v>
      </c>
      <c r="F83" s="209">
        <v>101473426</v>
      </c>
      <c r="G83" s="294">
        <v>0</v>
      </c>
      <c r="H83" s="294">
        <v>0</v>
      </c>
      <c r="I83" s="294">
        <v>0</v>
      </c>
      <c r="J83" s="294">
        <v>0</v>
      </c>
      <c r="K83" s="294">
        <v>0</v>
      </c>
      <c r="L83" s="294"/>
      <c r="M83" s="294"/>
      <c r="N83" s="294">
        <v>0</v>
      </c>
      <c r="O83" s="294">
        <v>0</v>
      </c>
      <c r="P83" s="294">
        <v>0</v>
      </c>
      <c r="Q83" s="294">
        <v>0</v>
      </c>
      <c r="R83" s="294">
        <v>0</v>
      </c>
      <c r="S83" s="294">
        <v>0</v>
      </c>
      <c r="T83" s="209">
        <v>-11259356</v>
      </c>
      <c r="U83" s="209">
        <v>-11259356</v>
      </c>
      <c r="V83" s="294">
        <v>0</v>
      </c>
      <c r="W83" s="209">
        <v>-11259356</v>
      </c>
      <c r="X83" s="209"/>
      <c r="Y83" s="347"/>
      <c r="Z83" s="347"/>
      <c r="AA83" s="347"/>
      <c r="AB83" s="347"/>
    </row>
    <row r="84" spans="2:28" x14ac:dyDescent="0.3">
      <c r="B84" s="214">
        <v>20</v>
      </c>
      <c r="C84" s="207" t="str">
        <f>'Employer Allocations'!A68</f>
        <v>Carlisle County Schools</v>
      </c>
      <c r="D84" s="294">
        <v>0</v>
      </c>
      <c r="E84" s="209">
        <v>14428113</v>
      </c>
      <c r="F84" s="209">
        <v>14428113</v>
      </c>
      <c r="G84" s="294">
        <v>0</v>
      </c>
      <c r="H84" s="294">
        <v>0</v>
      </c>
      <c r="I84" s="294">
        <v>0</v>
      </c>
      <c r="J84" s="294">
        <v>0</v>
      </c>
      <c r="K84" s="294">
        <v>0</v>
      </c>
      <c r="L84" s="294"/>
      <c r="M84" s="294"/>
      <c r="N84" s="294">
        <v>0</v>
      </c>
      <c r="O84" s="294">
        <v>0</v>
      </c>
      <c r="P84" s="294">
        <v>0</v>
      </c>
      <c r="Q84" s="294">
        <v>0</v>
      </c>
      <c r="R84" s="294">
        <v>0</v>
      </c>
      <c r="S84" s="294">
        <v>0</v>
      </c>
      <c r="T84" s="209">
        <v>-1600924</v>
      </c>
      <c r="U84" s="209">
        <v>-1600924</v>
      </c>
      <c r="V84" s="294">
        <v>0</v>
      </c>
      <c r="W84" s="209">
        <v>-1600924</v>
      </c>
      <c r="X84" s="209"/>
      <c r="Y84" s="347"/>
      <c r="Z84" s="347"/>
      <c r="AA84" s="347"/>
      <c r="AB84" s="347"/>
    </row>
    <row r="85" spans="2:28" x14ac:dyDescent="0.3">
      <c r="B85" s="214">
        <v>21</v>
      </c>
      <c r="C85" s="207" t="str">
        <f>'Employer Allocations'!A69</f>
        <v>Carroll County Schools</v>
      </c>
      <c r="D85" s="294">
        <v>0</v>
      </c>
      <c r="E85" s="209">
        <v>41654744</v>
      </c>
      <c r="F85" s="209">
        <v>41654744</v>
      </c>
      <c r="G85" s="294">
        <v>0</v>
      </c>
      <c r="H85" s="294">
        <v>0</v>
      </c>
      <c r="I85" s="294">
        <v>0</v>
      </c>
      <c r="J85" s="294">
        <v>0</v>
      </c>
      <c r="K85" s="294">
        <v>0</v>
      </c>
      <c r="L85" s="294"/>
      <c r="M85" s="294"/>
      <c r="N85" s="294">
        <v>0</v>
      </c>
      <c r="O85" s="294">
        <v>0</v>
      </c>
      <c r="P85" s="294">
        <v>0</v>
      </c>
      <c r="Q85" s="294">
        <v>0</v>
      </c>
      <c r="R85" s="294">
        <v>0</v>
      </c>
      <c r="S85" s="294">
        <v>0</v>
      </c>
      <c r="T85" s="209">
        <v>-4621955</v>
      </c>
      <c r="U85" s="209">
        <v>-4621955</v>
      </c>
      <c r="V85" s="294">
        <v>0</v>
      </c>
      <c r="W85" s="209">
        <v>-4621955</v>
      </c>
      <c r="X85" s="209"/>
      <c r="Y85" s="347"/>
      <c r="Z85" s="347"/>
      <c r="AA85" s="347"/>
      <c r="AB85" s="347"/>
    </row>
    <row r="86" spans="2:28" x14ac:dyDescent="0.3">
      <c r="B86" s="214">
        <v>22</v>
      </c>
      <c r="C86" s="207" t="str">
        <f>'Employer Allocations'!A70</f>
        <v>Carter County Schools</v>
      </c>
      <c r="D86" s="294">
        <v>0</v>
      </c>
      <c r="E86" s="209">
        <v>72623436</v>
      </c>
      <c r="F86" s="209">
        <v>72623436</v>
      </c>
      <c r="G86" s="294">
        <v>0</v>
      </c>
      <c r="H86" s="294">
        <v>0</v>
      </c>
      <c r="I86" s="294">
        <v>0</v>
      </c>
      <c r="J86" s="294">
        <v>0</v>
      </c>
      <c r="K86" s="294">
        <v>0</v>
      </c>
      <c r="L86" s="294"/>
      <c r="M86" s="294"/>
      <c r="N86" s="294">
        <v>0</v>
      </c>
      <c r="O86" s="294">
        <v>0</v>
      </c>
      <c r="P86" s="294">
        <v>0</v>
      </c>
      <c r="Q86" s="294">
        <v>0</v>
      </c>
      <c r="R86" s="294">
        <v>0</v>
      </c>
      <c r="S86" s="294">
        <v>0</v>
      </c>
      <c r="T86" s="209">
        <v>-8058200</v>
      </c>
      <c r="U86" s="209">
        <v>-8058200</v>
      </c>
      <c r="V86" s="294">
        <v>0</v>
      </c>
      <c r="W86" s="209">
        <v>-8058200</v>
      </c>
      <c r="X86" s="209"/>
      <c r="Y86" s="347"/>
      <c r="Z86" s="347"/>
      <c r="AA86" s="347"/>
      <c r="AB86" s="347"/>
    </row>
    <row r="87" spans="2:28" x14ac:dyDescent="0.3">
      <c r="B87" s="214">
        <v>23</v>
      </c>
      <c r="C87" s="207" t="str">
        <f>'Employer Allocations'!A71</f>
        <v>Casey County Schools</v>
      </c>
      <c r="D87" s="294">
        <v>0</v>
      </c>
      <c r="E87" s="209">
        <v>37478711</v>
      </c>
      <c r="F87" s="209">
        <v>37478711</v>
      </c>
      <c r="G87" s="294">
        <v>0</v>
      </c>
      <c r="H87" s="294">
        <v>0</v>
      </c>
      <c r="I87" s="294">
        <v>0</v>
      </c>
      <c r="J87" s="294">
        <v>0</v>
      </c>
      <c r="K87" s="294">
        <v>0</v>
      </c>
      <c r="L87" s="294"/>
      <c r="M87" s="294"/>
      <c r="N87" s="294">
        <v>0</v>
      </c>
      <c r="O87" s="294">
        <v>0</v>
      </c>
      <c r="P87" s="294">
        <v>0</v>
      </c>
      <c r="Q87" s="294">
        <v>0</v>
      </c>
      <c r="R87" s="294">
        <v>0</v>
      </c>
      <c r="S87" s="294">
        <v>0</v>
      </c>
      <c r="T87" s="209">
        <v>-4158588</v>
      </c>
      <c r="U87" s="209">
        <v>-4158588</v>
      </c>
      <c r="V87" s="294">
        <v>0</v>
      </c>
      <c r="W87" s="209">
        <v>-4158588</v>
      </c>
      <c r="X87" s="209"/>
      <c r="Y87" s="347"/>
      <c r="Z87" s="347"/>
      <c r="AA87" s="347"/>
      <c r="AB87" s="347"/>
    </row>
    <row r="88" spans="2:28" x14ac:dyDescent="0.3">
      <c r="B88" s="214">
        <v>24</v>
      </c>
      <c r="C88" s="207" t="str">
        <f>'Employer Allocations'!A72</f>
        <v>Christian County Schools</v>
      </c>
      <c r="D88" s="294">
        <v>0</v>
      </c>
      <c r="E88" s="209">
        <v>143372653</v>
      </c>
      <c r="F88" s="209">
        <v>143372653</v>
      </c>
      <c r="G88" s="294">
        <v>0</v>
      </c>
      <c r="H88" s="294">
        <v>0</v>
      </c>
      <c r="I88" s="294">
        <v>0</v>
      </c>
      <c r="J88" s="294">
        <v>0</v>
      </c>
      <c r="K88" s="294">
        <v>0</v>
      </c>
      <c r="L88" s="294"/>
      <c r="M88" s="294"/>
      <c r="N88" s="294">
        <v>0</v>
      </c>
      <c r="O88" s="294">
        <v>0</v>
      </c>
      <c r="P88" s="294">
        <v>0</v>
      </c>
      <c r="Q88" s="294">
        <v>0</v>
      </c>
      <c r="R88" s="294">
        <v>0</v>
      </c>
      <c r="S88" s="294">
        <v>0</v>
      </c>
      <c r="T88" s="209">
        <v>-15908438</v>
      </c>
      <c r="U88" s="209">
        <v>-15908438</v>
      </c>
      <c r="V88" s="294">
        <v>0</v>
      </c>
      <c r="W88" s="209">
        <v>-15908438</v>
      </c>
      <c r="X88" s="209"/>
      <c r="Y88" s="347"/>
      <c r="Z88" s="347"/>
      <c r="AA88" s="347"/>
      <c r="AB88" s="347"/>
    </row>
    <row r="89" spans="2:28" x14ac:dyDescent="0.3">
      <c r="B89" s="214">
        <v>25</v>
      </c>
      <c r="C89" s="207" t="str">
        <f>'Employer Allocations'!A73</f>
        <v>Clark County Schools</v>
      </c>
      <c r="D89" s="294">
        <v>0</v>
      </c>
      <c r="E89" s="209">
        <v>103640598</v>
      </c>
      <c r="F89" s="209">
        <v>103640598</v>
      </c>
      <c r="G89" s="294">
        <v>0</v>
      </c>
      <c r="H89" s="294">
        <v>0</v>
      </c>
      <c r="I89" s="294">
        <v>0</v>
      </c>
      <c r="J89" s="294">
        <v>0</v>
      </c>
      <c r="K89" s="294">
        <v>0</v>
      </c>
      <c r="L89" s="294"/>
      <c r="M89" s="294"/>
      <c r="N89" s="294">
        <v>0</v>
      </c>
      <c r="O89" s="294">
        <v>0</v>
      </c>
      <c r="P89" s="294">
        <v>0</v>
      </c>
      <c r="Q89" s="294">
        <v>0</v>
      </c>
      <c r="R89" s="294">
        <v>0</v>
      </c>
      <c r="S89" s="294">
        <v>0</v>
      </c>
      <c r="T89" s="209">
        <v>-11499823</v>
      </c>
      <c r="U89" s="209">
        <v>-11499823</v>
      </c>
      <c r="V89" s="294">
        <v>0</v>
      </c>
      <c r="W89" s="209">
        <v>-11499823</v>
      </c>
      <c r="X89" s="209"/>
      <c r="Y89" s="347"/>
      <c r="Z89" s="347"/>
      <c r="AA89" s="347"/>
      <c r="AB89" s="347"/>
    </row>
    <row r="90" spans="2:28" x14ac:dyDescent="0.3">
      <c r="B90" s="214">
        <v>26</v>
      </c>
      <c r="C90" s="207" t="str">
        <f>'Employer Allocations'!A74</f>
        <v>Clay County Schools</v>
      </c>
      <c r="D90" s="294">
        <v>0</v>
      </c>
      <c r="E90" s="209">
        <v>58353917</v>
      </c>
      <c r="F90" s="209">
        <v>58353917</v>
      </c>
      <c r="G90" s="294">
        <v>0</v>
      </c>
      <c r="H90" s="294">
        <v>0</v>
      </c>
      <c r="I90" s="294">
        <v>0</v>
      </c>
      <c r="J90" s="294">
        <v>0</v>
      </c>
      <c r="K90" s="294">
        <v>0</v>
      </c>
      <c r="L90" s="294"/>
      <c r="M90" s="294"/>
      <c r="N90" s="294">
        <v>0</v>
      </c>
      <c r="O90" s="294">
        <v>0</v>
      </c>
      <c r="P90" s="294">
        <v>0</v>
      </c>
      <c r="Q90" s="294">
        <v>0</v>
      </c>
      <c r="R90" s="294">
        <v>0</v>
      </c>
      <c r="S90" s="294">
        <v>0</v>
      </c>
      <c r="T90" s="209">
        <v>-6474873</v>
      </c>
      <c r="U90" s="209">
        <v>-6474873</v>
      </c>
      <c r="V90" s="294">
        <v>0</v>
      </c>
      <c r="W90" s="209">
        <v>-6474873</v>
      </c>
      <c r="X90" s="209"/>
      <c r="Y90" s="347"/>
      <c r="Z90" s="347"/>
      <c r="AA90" s="347"/>
      <c r="AB90" s="347"/>
    </row>
    <row r="91" spans="2:28" x14ac:dyDescent="0.3">
      <c r="B91" s="214">
        <v>27</v>
      </c>
      <c r="C91" s="207" t="str">
        <f>'Employer Allocations'!A75</f>
        <v>Clinton County Schools</v>
      </c>
      <c r="D91" s="294">
        <v>0</v>
      </c>
      <c r="E91" s="209">
        <v>30261041</v>
      </c>
      <c r="F91" s="209">
        <v>30261041</v>
      </c>
      <c r="G91" s="294">
        <v>0</v>
      </c>
      <c r="H91" s="294">
        <v>0</v>
      </c>
      <c r="I91" s="294">
        <v>0</v>
      </c>
      <c r="J91" s="294">
        <v>0</v>
      </c>
      <c r="K91" s="294">
        <v>0</v>
      </c>
      <c r="L91" s="294"/>
      <c r="M91" s="294"/>
      <c r="N91" s="294">
        <v>0</v>
      </c>
      <c r="O91" s="294">
        <v>0</v>
      </c>
      <c r="P91" s="294">
        <v>0</v>
      </c>
      <c r="Q91" s="294">
        <v>0</v>
      </c>
      <c r="R91" s="294">
        <v>0</v>
      </c>
      <c r="S91" s="294">
        <v>0</v>
      </c>
      <c r="T91" s="209">
        <v>-3357725</v>
      </c>
      <c r="U91" s="209">
        <v>-3357725</v>
      </c>
      <c r="V91" s="294">
        <v>0</v>
      </c>
      <c r="W91" s="209">
        <v>-3357725</v>
      </c>
      <c r="X91" s="209"/>
      <c r="Y91" s="347"/>
      <c r="Z91" s="347"/>
      <c r="AA91" s="347"/>
      <c r="AB91" s="347"/>
    </row>
    <row r="92" spans="2:28" x14ac:dyDescent="0.3">
      <c r="B92" s="214">
        <v>28</v>
      </c>
      <c r="C92" s="207" t="str">
        <f>'Employer Allocations'!A76</f>
        <v>Crittenden County Schools</v>
      </c>
      <c r="D92" s="294">
        <v>0</v>
      </c>
      <c r="E92" s="209">
        <v>23222090</v>
      </c>
      <c r="F92" s="209">
        <v>23222090</v>
      </c>
      <c r="G92" s="294">
        <v>0</v>
      </c>
      <c r="H92" s="294">
        <v>0</v>
      </c>
      <c r="I92" s="294">
        <v>0</v>
      </c>
      <c r="J92" s="294">
        <v>0</v>
      </c>
      <c r="K92" s="294">
        <v>0</v>
      </c>
      <c r="L92" s="294"/>
      <c r="M92" s="294"/>
      <c r="N92" s="294">
        <v>0</v>
      </c>
      <c r="O92" s="294">
        <v>0</v>
      </c>
      <c r="P92" s="294">
        <v>0</v>
      </c>
      <c r="Q92" s="294">
        <v>0</v>
      </c>
      <c r="R92" s="294">
        <v>0</v>
      </c>
      <c r="S92" s="294">
        <v>0</v>
      </c>
      <c r="T92" s="209">
        <v>-2576692</v>
      </c>
      <c r="U92" s="209">
        <v>-2576692</v>
      </c>
      <c r="V92" s="294">
        <v>0</v>
      </c>
      <c r="W92" s="209">
        <v>-2576692</v>
      </c>
      <c r="X92" s="209"/>
      <c r="Y92" s="347"/>
      <c r="Z92" s="347"/>
      <c r="AA92" s="347"/>
      <c r="AB92" s="347"/>
    </row>
    <row r="93" spans="2:28" x14ac:dyDescent="0.3">
      <c r="B93" s="214">
        <v>29</v>
      </c>
      <c r="C93" s="207" t="str">
        <f>'Employer Allocations'!A77</f>
        <v>Cumberland County Schools</v>
      </c>
      <c r="D93" s="294">
        <v>0</v>
      </c>
      <c r="E93" s="209">
        <v>18094632</v>
      </c>
      <c r="F93" s="209">
        <v>18094632</v>
      </c>
      <c r="G93" s="294">
        <v>0</v>
      </c>
      <c r="H93" s="294">
        <v>0</v>
      </c>
      <c r="I93" s="294">
        <v>0</v>
      </c>
      <c r="J93" s="294">
        <v>0</v>
      </c>
      <c r="K93" s="294">
        <v>0</v>
      </c>
      <c r="L93" s="294"/>
      <c r="M93" s="294"/>
      <c r="N93" s="294">
        <v>0</v>
      </c>
      <c r="O93" s="294">
        <v>0</v>
      </c>
      <c r="P93" s="294">
        <v>0</v>
      </c>
      <c r="Q93" s="294">
        <v>0</v>
      </c>
      <c r="R93" s="294">
        <v>0</v>
      </c>
      <c r="S93" s="294">
        <v>0</v>
      </c>
      <c r="T93" s="209">
        <v>-2007756</v>
      </c>
      <c r="U93" s="209">
        <v>-2007756</v>
      </c>
      <c r="V93" s="294">
        <v>0</v>
      </c>
      <c r="W93" s="209">
        <v>-2007756</v>
      </c>
      <c r="X93" s="209"/>
      <c r="Y93" s="347"/>
      <c r="Z93" s="347"/>
      <c r="AA93" s="347"/>
      <c r="AB93" s="347"/>
    </row>
    <row r="94" spans="2:28" x14ac:dyDescent="0.3">
      <c r="B94" s="214">
        <v>30</v>
      </c>
      <c r="C94" s="207" t="str">
        <f>'Employer Allocations'!A78</f>
        <v>Daviess County Schools</v>
      </c>
      <c r="D94" s="294">
        <v>0</v>
      </c>
      <c r="E94" s="209">
        <v>226176171</v>
      </c>
      <c r="F94" s="209">
        <v>226176171</v>
      </c>
      <c r="G94" s="294">
        <v>0</v>
      </c>
      <c r="H94" s="294">
        <v>0</v>
      </c>
      <c r="I94" s="294">
        <v>0</v>
      </c>
      <c r="J94" s="294">
        <v>0</v>
      </c>
      <c r="K94" s="294">
        <v>0</v>
      </c>
      <c r="L94" s="294"/>
      <c r="M94" s="294"/>
      <c r="N94" s="294">
        <v>0</v>
      </c>
      <c r="O94" s="294">
        <v>0</v>
      </c>
      <c r="P94" s="294">
        <v>0</v>
      </c>
      <c r="Q94" s="294">
        <v>0</v>
      </c>
      <c r="R94" s="294">
        <v>0</v>
      </c>
      <c r="S94" s="294">
        <v>0</v>
      </c>
      <c r="T94" s="209">
        <v>-25096206</v>
      </c>
      <c r="U94" s="209">
        <v>-25096206</v>
      </c>
      <c r="V94" s="294">
        <v>0</v>
      </c>
      <c r="W94" s="209">
        <v>-25096206</v>
      </c>
      <c r="X94" s="209"/>
      <c r="Y94" s="347"/>
      <c r="Z94" s="347"/>
      <c r="AA94" s="347"/>
      <c r="AB94" s="347"/>
    </row>
    <row r="95" spans="2:28" x14ac:dyDescent="0.3">
      <c r="B95" s="214">
        <v>31</v>
      </c>
      <c r="C95" s="207" t="str">
        <f>'Employer Allocations'!A79</f>
        <v>Edmonson County Schools</v>
      </c>
      <c r="D95" s="294">
        <v>0</v>
      </c>
      <c r="E95" s="209">
        <v>32937869</v>
      </c>
      <c r="F95" s="209">
        <v>32937869</v>
      </c>
      <c r="G95" s="294">
        <v>0</v>
      </c>
      <c r="H95" s="294">
        <v>0</v>
      </c>
      <c r="I95" s="294">
        <v>0</v>
      </c>
      <c r="J95" s="294">
        <v>0</v>
      </c>
      <c r="K95" s="294">
        <v>0</v>
      </c>
      <c r="L95" s="294"/>
      <c r="M95" s="294"/>
      <c r="N95" s="294">
        <v>0</v>
      </c>
      <c r="O95" s="294">
        <v>0</v>
      </c>
      <c r="P95" s="294">
        <v>0</v>
      </c>
      <c r="Q95" s="294">
        <v>0</v>
      </c>
      <c r="R95" s="294">
        <v>0</v>
      </c>
      <c r="S95" s="294">
        <v>0</v>
      </c>
      <c r="T95" s="209">
        <v>-3654742</v>
      </c>
      <c r="U95" s="209">
        <v>-3654742</v>
      </c>
      <c r="V95" s="294">
        <v>0</v>
      </c>
      <c r="W95" s="209">
        <v>-3654742</v>
      </c>
      <c r="X95" s="209"/>
      <c r="Y95" s="347"/>
      <c r="Z95" s="347"/>
      <c r="AA95" s="347"/>
      <c r="AB95" s="347"/>
    </row>
    <row r="96" spans="2:28" x14ac:dyDescent="0.3">
      <c r="B96" s="214">
        <v>32</v>
      </c>
      <c r="C96" s="207" t="str">
        <f>'Employer Allocations'!A80</f>
        <v>Elliott County Schools</v>
      </c>
      <c r="D96" s="294">
        <v>0</v>
      </c>
      <c r="E96" s="209">
        <v>19361261</v>
      </c>
      <c r="F96" s="209">
        <v>19361261</v>
      </c>
      <c r="G96" s="294">
        <v>0</v>
      </c>
      <c r="H96" s="294">
        <v>0</v>
      </c>
      <c r="I96" s="294">
        <v>0</v>
      </c>
      <c r="J96" s="294">
        <v>0</v>
      </c>
      <c r="K96" s="294">
        <v>0</v>
      </c>
      <c r="L96" s="294"/>
      <c r="M96" s="294"/>
      <c r="N96" s="294">
        <v>0</v>
      </c>
      <c r="O96" s="294">
        <v>0</v>
      </c>
      <c r="P96" s="294">
        <v>0</v>
      </c>
      <c r="Q96" s="294">
        <v>0</v>
      </c>
      <c r="R96" s="294">
        <v>0</v>
      </c>
      <c r="S96" s="294">
        <v>0</v>
      </c>
      <c r="T96" s="209">
        <v>-2148300</v>
      </c>
      <c r="U96" s="209">
        <v>-2148300</v>
      </c>
      <c r="V96" s="294">
        <v>0</v>
      </c>
      <c r="W96" s="209">
        <v>-2148300</v>
      </c>
      <c r="X96" s="209"/>
      <c r="Y96" s="347"/>
      <c r="Z96" s="347"/>
      <c r="AA96" s="347"/>
      <c r="AB96" s="347"/>
    </row>
    <row r="97" spans="2:28" x14ac:dyDescent="0.3">
      <c r="B97" s="214">
        <v>33</v>
      </c>
      <c r="C97" s="207" t="str">
        <f>'Employer Allocations'!A81</f>
        <v>Estill County Schools</v>
      </c>
      <c r="D97" s="294">
        <v>0</v>
      </c>
      <c r="E97" s="209">
        <v>40259710</v>
      </c>
      <c r="F97" s="209">
        <v>40259710</v>
      </c>
      <c r="G97" s="294">
        <v>0</v>
      </c>
      <c r="H97" s="294">
        <v>0</v>
      </c>
      <c r="I97" s="294">
        <v>0</v>
      </c>
      <c r="J97" s="294">
        <v>0</v>
      </c>
      <c r="K97" s="294">
        <v>0</v>
      </c>
      <c r="L97" s="294"/>
      <c r="M97" s="294"/>
      <c r="N97" s="294">
        <v>0</v>
      </c>
      <c r="O97" s="294">
        <v>0</v>
      </c>
      <c r="P97" s="294">
        <v>0</v>
      </c>
      <c r="Q97" s="294">
        <v>0</v>
      </c>
      <c r="R97" s="294">
        <v>0</v>
      </c>
      <c r="S97" s="294">
        <v>0</v>
      </c>
      <c r="T97" s="209">
        <v>-4467164</v>
      </c>
      <c r="U97" s="209">
        <v>-4467164</v>
      </c>
      <c r="V97" s="294">
        <v>0</v>
      </c>
      <c r="W97" s="209">
        <v>-4467164</v>
      </c>
      <c r="X97" s="209"/>
      <c r="Y97" s="347"/>
      <c r="Z97" s="347"/>
      <c r="AA97" s="347"/>
      <c r="AB97" s="347"/>
    </row>
    <row r="98" spans="2:28" x14ac:dyDescent="0.3">
      <c r="B98" s="214">
        <v>34</v>
      </c>
      <c r="C98" s="207" t="str">
        <f>'Employer Allocations'!A82</f>
        <v>Fayette County Schools</v>
      </c>
      <c r="D98" s="294">
        <v>0</v>
      </c>
      <c r="E98" s="209">
        <v>1093095583</v>
      </c>
      <c r="F98" s="209">
        <v>1093095583</v>
      </c>
      <c r="G98" s="294">
        <v>0</v>
      </c>
      <c r="H98" s="294">
        <v>0</v>
      </c>
      <c r="I98" s="294">
        <v>0</v>
      </c>
      <c r="J98" s="294">
        <v>0</v>
      </c>
      <c r="K98" s="294">
        <v>0</v>
      </c>
      <c r="L98" s="294"/>
      <c r="M98" s="294"/>
      <c r="N98" s="294">
        <v>0</v>
      </c>
      <c r="O98" s="294">
        <v>0</v>
      </c>
      <c r="P98" s="294">
        <v>0</v>
      </c>
      <c r="Q98" s="294">
        <v>0</v>
      </c>
      <c r="R98" s="294">
        <v>0</v>
      </c>
      <c r="S98" s="294">
        <v>0</v>
      </c>
      <c r="T98" s="209">
        <v>-121288428</v>
      </c>
      <c r="U98" s="209">
        <v>-121288428</v>
      </c>
      <c r="V98" s="294">
        <v>0</v>
      </c>
      <c r="W98" s="209">
        <v>-121288428</v>
      </c>
      <c r="X98" s="209"/>
      <c r="Y98" s="347"/>
      <c r="Z98" s="347"/>
      <c r="AA98" s="347"/>
      <c r="AB98" s="347"/>
    </row>
    <row r="99" spans="2:28" x14ac:dyDescent="0.3">
      <c r="B99" s="214">
        <v>35</v>
      </c>
      <c r="C99" s="207" t="str">
        <f>'Employer Allocations'!A83</f>
        <v>Fleming County Schools</v>
      </c>
      <c r="D99" s="294">
        <v>0</v>
      </c>
      <c r="E99" s="209">
        <v>38420781</v>
      </c>
      <c r="F99" s="209">
        <v>38420781</v>
      </c>
      <c r="G99" s="294">
        <v>0</v>
      </c>
      <c r="H99" s="294">
        <v>0</v>
      </c>
      <c r="I99" s="294">
        <v>0</v>
      </c>
      <c r="J99" s="294">
        <v>0</v>
      </c>
      <c r="K99" s="294">
        <v>0</v>
      </c>
      <c r="L99" s="294"/>
      <c r="M99" s="294"/>
      <c r="N99" s="294">
        <v>0</v>
      </c>
      <c r="O99" s="294">
        <v>0</v>
      </c>
      <c r="P99" s="294">
        <v>0</v>
      </c>
      <c r="Q99" s="294">
        <v>0</v>
      </c>
      <c r="R99" s="294">
        <v>0</v>
      </c>
      <c r="S99" s="294">
        <v>0</v>
      </c>
      <c r="T99" s="209">
        <v>-4263119</v>
      </c>
      <c r="U99" s="209">
        <v>-4263119</v>
      </c>
      <c r="V99" s="294">
        <v>0</v>
      </c>
      <c r="W99" s="209">
        <v>-4263119</v>
      </c>
      <c r="X99" s="209"/>
      <c r="Y99" s="347"/>
      <c r="Z99" s="347"/>
      <c r="AA99" s="347"/>
      <c r="AB99" s="347"/>
    </row>
    <row r="100" spans="2:28" x14ac:dyDescent="0.3">
      <c r="B100" s="214">
        <v>36</v>
      </c>
      <c r="C100" s="207" t="str">
        <f>'Employer Allocations'!A84</f>
        <v>Floyd County Schools</v>
      </c>
      <c r="D100" s="294">
        <v>0</v>
      </c>
      <c r="E100" s="209">
        <v>95286973</v>
      </c>
      <c r="F100" s="209">
        <v>95286973</v>
      </c>
      <c r="G100" s="294">
        <v>0</v>
      </c>
      <c r="H100" s="294">
        <v>0</v>
      </c>
      <c r="I100" s="294">
        <v>0</v>
      </c>
      <c r="J100" s="294">
        <v>0</v>
      </c>
      <c r="K100" s="294">
        <v>0</v>
      </c>
      <c r="L100" s="294"/>
      <c r="M100" s="294"/>
      <c r="N100" s="294">
        <v>0</v>
      </c>
      <c r="O100" s="294">
        <v>0</v>
      </c>
      <c r="P100" s="294">
        <v>0</v>
      </c>
      <c r="Q100" s="294">
        <v>0</v>
      </c>
      <c r="R100" s="294">
        <v>0</v>
      </c>
      <c r="S100" s="294">
        <v>0</v>
      </c>
      <c r="T100" s="209">
        <v>-10572915</v>
      </c>
      <c r="U100" s="209">
        <v>-10572915</v>
      </c>
      <c r="V100" s="294">
        <v>0</v>
      </c>
      <c r="W100" s="209">
        <v>-10572915</v>
      </c>
      <c r="X100" s="209"/>
      <c r="Y100" s="347"/>
      <c r="Z100" s="347"/>
      <c r="AA100" s="347"/>
      <c r="AB100" s="347"/>
    </row>
    <row r="101" spans="2:28" x14ac:dyDescent="0.3">
      <c r="B101" s="214">
        <v>37</v>
      </c>
      <c r="C101" s="207" t="str">
        <f>'Employer Allocations'!A85</f>
        <v>Franklin County Schools</v>
      </c>
      <c r="D101" s="294">
        <v>0</v>
      </c>
      <c r="E101" s="209">
        <v>128032516</v>
      </c>
      <c r="F101" s="209">
        <v>128032516</v>
      </c>
      <c r="G101" s="294">
        <v>0</v>
      </c>
      <c r="H101" s="294">
        <v>0</v>
      </c>
      <c r="I101" s="294">
        <v>0</v>
      </c>
      <c r="J101" s="294">
        <v>0</v>
      </c>
      <c r="K101" s="294">
        <v>0</v>
      </c>
      <c r="L101" s="294"/>
      <c r="M101" s="294"/>
      <c r="N101" s="294">
        <v>0</v>
      </c>
      <c r="O101" s="294">
        <v>0</v>
      </c>
      <c r="P101" s="294">
        <v>0</v>
      </c>
      <c r="Q101" s="294">
        <v>0</v>
      </c>
      <c r="R101" s="294">
        <v>0</v>
      </c>
      <c r="S101" s="294">
        <v>0</v>
      </c>
      <c r="T101" s="209">
        <v>-14206317</v>
      </c>
      <c r="U101" s="209">
        <v>-14206317</v>
      </c>
      <c r="V101" s="294">
        <v>0</v>
      </c>
      <c r="W101" s="209">
        <v>-14206317</v>
      </c>
      <c r="X101" s="209"/>
      <c r="Y101" s="347"/>
      <c r="Z101" s="347"/>
      <c r="AA101" s="347"/>
      <c r="AB101" s="347"/>
    </row>
    <row r="102" spans="2:28" x14ac:dyDescent="0.3">
      <c r="B102" s="214">
        <v>38</v>
      </c>
      <c r="C102" s="207" t="str">
        <f>'Employer Allocations'!A86</f>
        <v>Fulton County Schools</v>
      </c>
      <c r="D102" s="294">
        <v>0</v>
      </c>
      <c r="E102" s="209">
        <v>12536887</v>
      </c>
      <c r="F102" s="209">
        <v>12536887</v>
      </c>
      <c r="G102" s="294">
        <v>0</v>
      </c>
      <c r="H102" s="294">
        <v>0</v>
      </c>
      <c r="I102" s="294">
        <v>0</v>
      </c>
      <c r="J102" s="294">
        <v>0</v>
      </c>
      <c r="K102" s="294">
        <v>0</v>
      </c>
      <c r="L102" s="294"/>
      <c r="M102" s="294"/>
      <c r="N102" s="294">
        <v>0</v>
      </c>
      <c r="O102" s="294">
        <v>0</v>
      </c>
      <c r="P102" s="294">
        <v>0</v>
      </c>
      <c r="Q102" s="294">
        <v>0</v>
      </c>
      <c r="R102" s="294">
        <v>0</v>
      </c>
      <c r="S102" s="294">
        <v>0</v>
      </c>
      <c r="T102" s="209">
        <v>-1391076</v>
      </c>
      <c r="U102" s="209">
        <v>-1391076</v>
      </c>
      <c r="V102" s="294">
        <v>0</v>
      </c>
      <c r="W102" s="209">
        <v>-1391076</v>
      </c>
      <c r="X102" s="209"/>
      <c r="Y102" s="347"/>
      <c r="Z102" s="347"/>
      <c r="AA102" s="347"/>
      <c r="AB102" s="347"/>
    </row>
    <row r="103" spans="2:28" x14ac:dyDescent="0.3">
      <c r="B103" s="214">
        <v>39</v>
      </c>
      <c r="C103" s="207" t="str">
        <f>'Employer Allocations'!A87</f>
        <v>Gallatin County Schools</v>
      </c>
      <c r="D103" s="294">
        <v>0</v>
      </c>
      <c r="E103" s="209">
        <v>30785862</v>
      </c>
      <c r="F103" s="209">
        <v>30785862</v>
      </c>
      <c r="G103" s="294">
        <v>0</v>
      </c>
      <c r="H103" s="294">
        <v>0</v>
      </c>
      <c r="I103" s="294">
        <v>0</v>
      </c>
      <c r="J103" s="294">
        <v>0</v>
      </c>
      <c r="K103" s="294">
        <v>0</v>
      </c>
      <c r="L103" s="294"/>
      <c r="M103" s="294"/>
      <c r="N103" s="294">
        <v>0</v>
      </c>
      <c r="O103" s="294">
        <v>0</v>
      </c>
      <c r="P103" s="294">
        <v>0</v>
      </c>
      <c r="Q103" s="294">
        <v>0</v>
      </c>
      <c r="R103" s="294">
        <v>0</v>
      </c>
      <c r="S103" s="294">
        <v>0</v>
      </c>
      <c r="T103" s="209">
        <v>-3415958</v>
      </c>
      <c r="U103" s="209">
        <v>-3415958</v>
      </c>
      <c r="V103" s="294">
        <v>0</v>
      </c>
      <c r="W103" s="209">
        <v>-3415958</v>
      </c>
      <c r="X103" s="209"/>
      <c r="Y103" s="347"/>
      <c r="Z103" s="347"/>
      <c r="AA103" s="347"/>
      <c r="AB103" s="347"/>
    </row>
    <row r="104" spans="2:28" x14ac:dyDescent="0.3">
      <c r="B104" s="214">
        <v>40</v>
      </c>
      <c r="C104" s="207" t="str">
        <f>'Employer Allocations'!A88</f>
        <v>Garrard County Schools</v>
      </c>
      <c r="D104" s="294">
        <v>0</v>
      </c>
      <c r="E104" s="209">
        <v>46852924</v>
      </c>
      <c r="F104" s="209">
        <v>46852924</v>
      </c>
      <c r="G104" s="294">
        <v>0</v>
      </c>
      <c r="H104" s="294">
        <v>0</v>
      </c>
      <c r="I104" s="294">
        <v>0</v>
      </c>
      <c r="J104" s="294">
        <v>0</v>
      </c>
      <c r="K104" s="294">
        <v>0</v>
      </c>
      <c r="L104" s="294"/>
      <c r="M104" s="294"/>
      <c r="N104" s="294">
        <v>0</v>
      </c>
      <c r="O104" s="294">
        <v>0</v>
      </c>
      <c r="P104" s="294">
        <v>0</v>
      </c>
      <c r="Q104" s="294">
        <v>0</v>
      </c>
      <c r="R104" s="294">
        <v>0</v>
      </c>
      <c r="S104" s="294">
        <v>0</v>
      </c>
      <c r="T104" s="209">
        <v>-5198738</v>
      </c>
      <c r="U104" s="209">
        <v>-5198738</v>
      </c>
      <c r="V104" s="294">
        <v>0</v>
      </c>
      <c r="W104" s="209">
        <v>-5198738</v>
      </c>
      <c r="X104" s="209"/>
      <c r="Y104" s="347"/>
      <c r="Z104" s="347"/>
      <c r="AA104" s="347"/>
      <c r="AB104" s="347"/>
    </row>
    <row r="105" spans="2:28" s="213" customFormat="1" x14ac:dyDescent="0.3">
      <c r="B105" s="214">
        <v>41</v>
      </c>
      <c r="C105" s="207" t="str">
        <f>'Employer Allocations'!A89</f>
        <v>Grant County Schools</v>
      </c>
      <c r="D105" s="336">
        <v>0</v>
      </c>
      <c r="E105" s="336">
        <v>64002794</v>
      </c>
      <c r="F105" s="336">
        <v>64002794</v>
      </c>
      <c r="G105" s="336">
        <v>0</v>
      </c>
      <c r="H105" s="336">
        <v>0</v>
      </c>
      <c r="I105" s="336">
        <v>0</v>
      </c>
      <c r="J105" s="336">
        <v>0</v>
      </c>
      <c r="K105" s="336">
        <v>0</v>
      </c>
      <c r="L105" s="336"/>
      <c r="M105" s="336"/>
      <c r="N105" s="336">
        <v>0</v>
      </c>
      <c r="O105" s="336">
        <v>0</v>
      </c>
      <c r="P105" s="336">
        <v>0</v>
      </c>
      <c r="Q105" s="336">
        <v>0</v>
      </c>
      <c r="R105" s="336">
        <v>0</v>
      </c>
      <c r="S105" s="336">
        <v>0</v>
      </c>
      <c r="T105" s="336">
        <v>-7101665</v>
      </c>
      <c r="U105" s="336">
        <v>-7101665</v>
      </c>
      <c r="V105" s="336">
        <v>0</v>
      </c>
      <c r="W105" s="336">
        <v>-7101665</v>
      </c>
      <c r="X105" s="209"/>
      <c r="Y105" s="347"/>
      <c r="Z105" s="347"/>
      <c r="AA105" s="347"/>
      <c r="AB105" s="347"/>
    </row>
    <row r="106" spans="2:28" s="213" customFormat="1" x14ac:dyDescent="0.3">
      <c r="B106" s="214">
        <v>42</v>
      </c>
      <c r="C106" s="207" t="str">
        <f>'Employer Allocations'!A90</f>
        <v>Graves County Schools</v>
      </c>
      <c r="D106" s="294">
        <v>0</v>
      </c>
      <c r="E106" s="209">
        <v>73594135</v>
      </c>
      <c r="F106" s="209">
        <v>73594135</v>
      </c>
      <c r="G106" s="294">
        <v>0</v>
      </c>
      <c r="H106" s="294">
        <v>0</v>
      </c>
      <c r="I106" s="294">
        <v>0</v>
      </c>
      <c r="J106" s="294">
        <v>0</v>
      </c>
      <c r="K106" s="294">
        <v>0</v>
      </c>
      <c r="L106" s="294"/>
      <c r="M106" s="294"/>
      <c r="N106" s="294">
        <v>0</v>
      </c>
      <c r="O106" s="294">
        <v>0</v>
      </c>
      <c r="P106" s="294">
        <v>0</v>
      </c>
      <c r="Q106" s="294">
        <v>0</v>
      </c>
      <c r="R106" s="294">
        <v>0</v>
      </c>
      <c r="S106" s="294">
        <v>0</v>
      </c>
      <c r="T106" s="209">
        <v>-8165907</v>
      </c>
      <c r="U106" s="209">
        <v>-8165907</v>
      </c>
      <c r="V106" s="294">
        <v>0</v>
      </c>
      <c r="W106" s="209">
        <v>-8165907</v>
      </c>
      <c r="X106" s="209"/>
      <c r="Y106" s="347"/>
      <c r="Z106" s="347"/>
      <c r="AA106" s="347"/>
      <c r="AB106" s="347"/>
    </row>
    <row r="107" spans="2:28" s="213" customFormat="1" x14ac:dyDescent="0.3">
      <c r="B107" s="214">
        <v>43</v>
      </c>
      <c r="C107" s="207" t="str">
        <f>'Employer Allocations'!A91</f>
        <v>Grayson County Schools</v>
      </c>
      <c r="D107" s="294">
        <v>0</v>
      </c>
      <c r="E107" s="209">
        <v>71048973</v>
      </c>
      <c r="F107" s="209">
        <v>71048973</v>
      </c>
      <c r="G107" s="294">
        <v>0</v>
      </c>
      <c r="H107" s="294">
        <v>0</v>
      </c>
      <c r="I107" s="294">
        <v>0</v>
      </c>
      <c r="J107" s="294">
        <v>0</v>
      </c>
      <c r="K107" s="294">
        <v>0</v>
      </c>
      <c r="L107" s="294"/>
      <c r="M107" s="294"/>
      <c r="N107" s="294">
        <v>0</v>
      </c>
      <c r="O107" s="294">
        <v>0</v>
      </c>
      <c r="P107" s="294">
        <v>0</v>
      </c>
      <c r="Q107" s="294">
        <v>0</v>
      </c>
      <c r="R107" s="294">
        <v>0</v>
      </c>
      <c r="S107" s="294">
        <v>0</v>
      </c>
      <c r="T107" s="209">
        <v>-7883499</v>
      </c>
      <c r="U107" s="209">
        <v>-7883499</v>
      </c>
      <c r="V107" s="294">
        <v>0</v>
      </c>
      <c r="W107" s="209">
        <v>-7883499</v>
      </c>
      <c r="X107" s="209"/>
      <c r="Y107" s="347"/>
      <c r="Z107" s="347"/>
      <c r="AA107" s="347"/>
      <c r="AB107" s="347"/>
    </row>
    <row r="108" spans="2:28" s="213" customFormat="1" x14ac:dyDescent="0.3">
      <c r="B108" s="214">
        <v>44</v>
      </c>
      <c r="C108" s="207" t="str">
        <f>'Employer Allocations'!A92</f>
        <v>Green County Schools</v>
      </c>
      <c r="D108" s="294">
        <v>0</v>
      </c>
      <c r="E108" s="209">
        <v>30449398</v>
      </c>
      <c r="F108" s="209">
        <v>30449398</v>
      </c>
      <c r="G108" s="294">
        <v>0</v>
      </c>
      <c r="H108" s="294">
        <v>0</v>
      </c>
      <c r="I108" s="294">
        <v>0</v>
      </c>
      <c r="J108" s="294">
        <v>0</v>
      </c>
      <c r="K108" s="294">
        <v>0</v>
      </c>
      <c r="L108" s="294"/>
      <c r="M108" s="294"/>
      <c r="N108" s="294">
        <v>0</v>
      </c>
      <c r="O108" s="294">
        <v>0</v>
      </c>
      <c r="P108" s="294">
        <v>0</v>
      </c>
      <c r="Q108" s="294">
        <v>0</v>
      </c>
      <c r="R108" s="294">
        <v>0</v>
      </c>
      <c r="S108" s="294">
        <v>0</v>
      </c>
      <c r="T108" s="209">
        <v>-3378625</v>
      </c>
      <c r="U108" s="209">
        <v>-3378625</v>
      </c>
      <c r="V108" s="294">
        <v>0</v>
      </c>
      <c r="W108" s="209">
        <v>-3378625</v>
      </c>
      <c r="X108" s="209"/>
      <c r="Y108" s="347"/>
      <c r="Z108" s="347"/>
      <c r="AA108" s="347"/>
      <c r="AB108" s="347"/>
    </row>
    <row r="109" spans="2:28" s="213" customFormat="1" x14ac:dyDescent="0.3">
      <c r="B109" s="214">
        <v>45</v>
      </c>
      <c r="C109" s="207" t="str">
        <f>'Employer Allocations'!A93</f>
        <v>Greenup County Schools</v>
      </c>
      <c r="D109" s="294">
        <v>0</v>
      </c>
      <c r="E109" s="209">
        <v>50850096</v>
      </c>
      <c r="F109" s="209">
        <v>50850096</v>
      </c>
      <c r="G109" s="294">
        <v>0</v>
      </c>
      <c r="H109" s="294">
        <v>0</v>
      </c>
      <c r="I109" s="294">
        <v>0</v>
      </c>
      <c r="J109" s="294">
        <v>0</v>
      </c>
      <c r="K109" s="294">
        <v>0</v>
      </c>
      <c r="L109" s="294"/>
      <c r="M109" s="294"/>
      <c r="N109" s="294">
        <v>0</v>
      </c>
      <c r="O109" s="294">
        <v>0</v>
      </c>
      <c r="P109" s="294">
        <v>0</v>
      </c>
      <c r="Q109" s="294">
        <v>0</v>
      </c>
      <c r="R109" s="294">
        <v>0</v>
      </c>
      <c r="S109" s="294">
        <v>0</v>
      </c>
      <c r="T109" s="209">
        <v>-5642259</v>
      </c>
      <c r="U109" s="209">
        <v>-5642259</v>
      </c>
      <c r="V109" s="294">
        <v>0</v>
      </c>
      <c r="W109" s="209">
        <v>-5642259</v>
      </c>
      <c r="X109" s="209"/>
      <c r="Y109" s="347"/>
      <c r="Z109" s="347"/>
      <c r="AA109" s="347"/>
      <c r="AB109" s="347"/>
    </row>
    <row r="110" spans="2:28" s="213" customFormat="1" x14ac:dyDescent="0.3">
      <c r="B110" s="214">
        <v>46</v>
      </c>
      <c r="C110" s="207" t="str">
        <f>'Employer Allocations'!A94</f>
        <v>Hancock County Schools</v>
      </c>
      <c r="D110" s="294">
        <v>0</v>
      </c>
      <c r="E110" s="209">
        <v>33284537</v>
      </c>
      <c r="F110" s="209">
        <v>33284537</v>
      </c>
      <c r="G110" s="294">
        <v>0</v>
      </c>
      <c r="H110" s="294">
        <v>0</v>
      </c>
      <c r="I110" s="294">
        <v>0</v>
      </c>
      <c r="J110" s="294">
        <v>0</v>
      </c>
      <c r="K110" s="294">
        <v>0</v>
      </c>
      <c r="L110" s="294"/>
      <c r="M110" s="294"/>
      <c r="N110" s="294">
        <v>0</v>
      </c>
      <c r="O110" s="294">
        <v>0</v>
      </c>
      <c r="P110" s="294">
        <v>0</v>
      </c>
      <c r="Q110" s="294">
        <v>0</v>
      </c>
      <c r="R110" s="294">
        <v>0</v>
      </c>
      <c r="S110" s="294">
        <v>0</v>
      </c>
      <c r="T110" s="209">
        <v>-3693208</v>
      </c>
      <c r="U110" s="209">
        <v>-3693208</v>
      </c>
      <c r="V110" s="294">
        <v>0</v>
      </c>
      <c r="W110" s="209">
        <v>-3693208</v>
      </c>
      <c r="X110" s="209"/>
      <c r="Y110" s="347"/>
      <c r="Z110" s="347"/>
      <c r="AA110" s="347"/>
      <c r="AB110" s="347"/>
    </row>
    <row r="111" spans="2:28" s="213" customFormat="1" x14ac:dyDescent="0.3">
      <c r="B111" s="214">
        <v>47</v>
      </c>
      <c r="C111" s="207" t="str">
        <f>'Employer Allocations'!A95</f>
        <v>Hardin County Schools</v>
      </c>
      <c r="D111" s="294">
        <v>0</v>
      </c>
      <c r="E111" s="209">
        <v>284034463</v>
      </c>
      <c r="F111" s="209">
        <v>284034463</v>
      </c>
      <c r="G111" s="294">
        <v>0</v>
      </c>
      <c r="H111" s="294">
        <v>0</v>
      </c>
      <c r="I111" s="294">
        <v>0</v>
      </c>
      <c r="J111" s="294">
        <v>0</v>
      </c>
      <c r="K111" s="294">
        <v>0</v>
      </c>
      <c r="L111" s="294"/>
      <c r="M111" s="294"/>
      <c r="N111" s="294">
        <v>0</v>
      </c>
      <c r="O111" s="294">
        <v>0</v>
      </c>
      <c r="P111" s="294">
        <v>0</v>
      </c>
      <c r="Q111" s="294">
        <v>0</v>
      </c>
      <c r="R111" s="294">
        <v>0</v>
      </c>
      <c r="S111" s="294">
        <v>0</v>
      </c>
      <c r="T111" s="209">
        <v>-31516085</v>
      </c>
      <c r="U111" s="209">
        <v>-31516085</v>
      </c>
      <c r="V111" s="294">
        <v>0</v>
      </c>
      <c r="W111" s="209">
        <v>-31516085</v>
      </c>
      <c r="X111" s="209"/>
      <c r="Y111" s="347"/>
      <c r="Z111" s="347"/>
      <c r="AA111" s="347"/>
      <c r="AB111" s="347"/>
    </row>
    <row r="112" spans="2:28" s="213" customFormat="1" x14ac:dyDescent="0.3">
      <c r="B112" s="214">
        <v>48</v>
      </c>
      <c r="C112" s="207" t="str">
        <f>'Employer Allocations'!A96</f>
        <v>Harlan County Schools</v>
      </c>
      <c r="D112" s="294">
        <v>0</v>
      </c>
      <c r="E112" s="209">
        <v>59902160</v>
      </c>
      <c r="F112" s="209">
        <v>59902160</v>
      </c>
      <c r="G112" s="294">
        <v>0</v>
      </c>
      <c r="H112" s="294">
        <v>0</v>
      </c>
      <c r="I112" s="294">
        <v>0</v>
      </c>
      <c r="J112" s="294">
        <v>0</v>
      </c>
      <c r="K112" s="294">
        <v>0</v>
      </c>
      <c r="L112" s="294"/>
      <c r="M112" s="294"/>
      <c r="N112" s="294">
        <v>0</v>
      </c>
      <c r="O112" s="294">
        <v>0</v>
      </c>
      <c r="P112" s="294">
        <v>0</v>
      </c>
      <c r="Q112" s="294">
        <v>0</v>
      </c>
      <c r="R112" s="294">
        <v>0</v>
      </c>
      <c r="S112" s="294">
        <v>0</v>
      </c>
      <c r="T112" s="209">
        <v>-6646664</v>
      </c>
      <c r="U112" s="209">
        <v>-6646664</v>
      </c>
      <c r="V112" s="294">
        <v>0</v>
      </c>
      <c r="W112" s="209">
        <v>-6646664</v>
      </c>
      <c r="X112" s="209"/>
      <c r="Y112" s="347"/>
      <c r="Z112" s="347"/>
      <c r="AA112" s="347"/>
      <c r="AB112" s="347"/>
    </row>
    <row r="113" spans="2:28" s="213" customFormat="1" x14ac:dyDescent="0.3">
      <c r="B113" s="214">
        <v>49</v>
      </c>
      <c r="C113" s="207" t="str">
        <f>'Employer Allocations'!A97</f>
        <v>Harrison County Schools</v>
      </c>
      <c r="D113" s="294">
        <v>0</v>
      </c>
      <c r="E113" s="209">
        <v>50070447</v>
      </c>
      <c r="F113" s="209">
        <v>50070447</v>
      </c>
      <c r="G113" s="294">
        <v>0</v>
      </c>
      <c r="H113" s="294">
        <v>0</v>
      </c>
      <c r="I113" s="294">
        <v>0</v>
      </c>
      <c r="J113" s="294">
        <v>0</v>
      </c>
      <c r="K113" s="294">
        <v>0</v>
      </c>
      <c r="L113" s="294"/>
      <c r="M113" s="294"/>
      <c r="N113" s="294">
        <v>0</v>
      </c>
      <c r="O113" s="294">
        <v>0</v>
      </c>
      <c r="P113" s="294">
        <v>0</v>
      </c>
      <c r="Q113" s="294">
        <v>0</v>
      </c>
      <c r="R113" s="294">
        <v>0</v>
      </c>
      <c r="S113" s="294">
        <v>0</v>
      </c>
      <c r="T113" s="209">
        <v>-5555750</v>
      </c>
      <c r="U113" s="209">
        <v>-5555750</v>
      </c>
      <c r="V113" s="294">
        <v>0</v>
      </c>
      <c r="W113" s="209">
        <v>-5555750</v>
      </c>
      <c r="X113" s="209"/>
      <c r="Y113" s="347"/>
      <c r="Z113" s="347"/>
      <c r="AA113" s="347"/>
      <c r="AB113" s="347"/>
    </row>
    <row r="114" spans="2:28" s="213" customFormat="1" x14ac:dyDescent="0.3">
      <c r="B114" s="214">
        <v>50</v>
      </c>
      <c r="C114" s="207" t="str">
        <f>'Employer Allocations'!A98</f>
        <v>Hart County Schools</v>
      </c>
      <c r="D114" s="294">
        <v>0</v>
      </c>
      <c r="E114" s="209">
        <v>43126313</v>
      </c>
      <c r="F114" s="209">
        <v>43126313</v>
      </c>
      <c r="G114" s="294">
        <v>0</v>
      </c>
      <c r="H114" s="294">
        <v>0</v>
      </c>
      <c r="I114" s="294">
        <v>0</v>
      </c>
      <c r="J114" s="294">
        <v>0</v>
      </c>
      <c r="K114" s="294">
        <v>0</v>
      </c>
      <c r="L114" s="294"/>
      <c r="M114" s="294"/>
      <c r="N114" s="294">
        <v>0</v>
      </c>
      <c r="O114" s="294">
        <v>0</v>
      </c>
      <c r="P114" s="294">
        <v>0</v>
      </c>
      <c r="Q114" s="294">
        <v>0</v>
      </c>
      <c r="R114" s="294">
        <v>0</v>
      </c>
      <c r="S114" s="294">
        <v>0</v>
      </c>
      <c r="T114" s="209">
        <v>-4785238</v>
      </c>
      <c r="U114" s="209">
        <v>-4785238</v>
      </c>
      <c r="V114" s="294">
        <v>0</v>
      </c>
      <c r="W114" s="209">
        <v>-4785238</v>
      </c>
      <c r="X114" s="209"/>
      <c r="Y114" s="347"/>
      <c r="Z114" s="347"/>
      <c r="AA114" s="347"/>
      <c r="AB114" s="347"/>
    </row>
    <row r="115" spans="2:28" s="213" customFormat="1" x14ac:dyDescent="0.3">
      <c r="B115" s="214">
        <v>51</v>
      </c>
      <c r="C115" s="207" t="str">
        <f>'Employer Allocations'!A99</f>
        <v>Henderson County Schools</v>
      </c>
      <c r="D115" s="294">
        <v>0</v>
      </c>
      <c r="E115" s="209">
        <v>138443757</v>
      </c>
      <c r="F115" s="209">
        <v>138443757</v>
      </c>
      <c r="G115" s="294">
        <v>0</v>
      </c>
      <c r="H115" s="294">
        <v>0</v>
      </c>
      <c r="I115" s="294">
        <v>0</v>
      </c>
      <c r="J115" s="294">
        <v>0</v>
      </c>
      <c r="K115" s="294">
        <v>0</v>
      </c>
      <c r="L115" s="294"/>
      <c r="M115" s="294"/>
      <c r="N115" s="294">
        <v>0</v>
      </c>
      <c r="O115" s="294">
        <v>0</v>
      </c>
      <c r="P115" s="294">
        <v>0</v>
      </c>
      <c r="Q115" s="294">
        <v>0</v>
      </c>
      <c r="R115" s="294">
        <v>0</v>
      </c>
      <c r="S115" s="294">
        <v>0</v>
      </c>
      <c r="T115" s="209">
        <v>-15361535</v>
      </c>
      <c r="U115" s="209">
        <v>-15361535</v>
      </c>
      <c r="V115" s="294">
        <v>0</v>
      </c>
      <c r="W115" s="209">
        <v>-15361535</v>
      </c>
      <c r="X115" s="209"/>
      <c r="Y115" s="347"/>
      <c r="Z115" s="347"/>
      <c r="AA115" s="347"/>
      <c r="AB115" s="347"/>
    </row>
    <row r="116" spans="2:28" s="213" customFormat="1" x14ac:dyDescent="0.3">
      <c r="B116" s="214">
        <v>52</v>
      </c>
      <c r="C116" s="207" t="str">
        <f>'Employer Allocations'!A100</f>
        <v>Henry County Schools</v>
      </c>
      <c r="D116" s="294">
        <v>0</v>
      </c>
      <c r="E116" s="209">
        <v>39102921</v>
      </c>
      <c r="F116" s="209">
        <v>39102921</v>
      </c>
      <c r="G116" s="294">
        <v>0</v>
      </c>
      <c r="H116" s="294">
        <v>0</v>
      </c>
      <c r="I116" s="294">
        <v>0</v>
      </c>
      <c r="J116" s="294">
        <v>0</v>
      </c>
      <c r="K116" s="294">
        <v>0</v>
      </c>
      <c r="L116" s="294"/>
      <c r="M116" s="294"/>
      <c r="N116" s="294">
        <v>0</v>
      </c>
      <c r="O116" s="294">
        <v>0</v>
      </c>
      <c r="P116" s="294">
        <v>0</v>
      </c>
      <c r="Q116" s="294">
        <v>0</v>
      </c>
      <c r="R116" s="294">
        <v>0</v>
      </c>
      <c r="S116" s="294">
        <v>0</v>
      </c>
      <c r="T116" s="209">
        <v>-4338808</v>
      </c>
      <c r="U116" s="209">
        <v>-4338808</v>
      </c>
      <c r="V116" s="294">
        <v>0</v>
      </c>
      <c r="W116" s="209">
        <v>-4338808</v>
      </c>
      <c r="X116" s="209"/>
      <c r="Y116" s="347"/>
      <c r="Z116" s="347"/>
      <c r="AA116" s="347"/>
      <c r="AB116" s="347"/>
    </row>
    <row r="117" spans="2:28" s="213" customFormat="1" x14ac:dyDescent="0.3">
      <c r="B117" s="214">
        <v>53</v>
      </c>
      <c r="C117" s="207" t="str">
        <f>'Employer Allocations'!A101</f>
        <v>Hickman County Schools</v>
      </c>
      <c r="D117" s="294">
        <v>0</v>
      </c>
      <c r="E117" s="209">
        <v>16038292</v>
      </c>
      <c r="F117" s="209">
        <v>16038292</v>
      </c>
      <c r="G117" s="294">
        <v>0</v>
      </c>
      <c r="H117" s="294">
        <v>0</v>
      </c>
      <c r="I117" s="294">
        <v>0</v>
      </c>
      <c r="J117" s="294">
        <v>0</v>
      </c>
      <c r="K117" s="294">
        <v>0</v>
      </c>
      <c r="L117" s="294"/>
      <c r="M117" s="294"/>
      <c r="N117" s="294">
        <v>0</v>
      </c>
      <c r="O117" s="294">
        <v>0</v>
      </c>
      <c r="P117" s="294">
        <v>0</v>
      </c>
      <c r="Q117" s="294">
        <v>0</v>
      </c>
      <c r="R117" s="294">
        <v>0</v>
      </c>
      <c r="S117" s="294">
        <v>0</v>
      </c>
      <c r="T117" s="209">
        <v>-1779587</v>
      </c>
      <c r="U117" s="209">
        <v>-1779587</v>
      </c>
      <c r="V117" s="294">
        <v>0</v>
      </c>
      <c r="W117" s="209">
        <v>-1779587</v>
      </c>
      <c r="X117" s="209"/>
      <c r="Y117" s="347"/>
      <c r="Z117" s="347"/>
      <c r="AA117" s="347"/>
      <c r="AB117" s="347"/>
    </row>
    <row r="118" spans="2:28" s="213" customFormat="1" x14ac:dyDescent="0.3">
      <c r="B118" s="214">
        <v>54</v>
      </c>
      <c r="C118" s="207" t="str">
        <f>'Employer Allocations'!A102</f>
        <v>Hopkins County Schools</v>
      </c>
      <c r="D118" s="294">
        <v>0</v>
      </c>
      <c r="E118" s="209">
        <v>118293068</v>
      </c>
      <c r="F118" s="209">
        <v>118293068</v>
      </c>
      <c r="G118" s="294">
        <v>0</v>
      </c>
      <c r="H118" s="294">
        <v>0</v>
      </c>
      <c r="I118" s="294">
        <v>0</v>
      </c>
      <c r="J118" s="294">
        <v>0</v>
      </c>
      <c r="K118" s="294">
        <v>0</v>
      </c>
      <c r="L118" s="294"/>
      <c r="M118" s="294"/>
      <c r="N118" s="294">
        <v>0</v>
      </c>
      <c r="O118" s="294">
        <v>0</v>
      </c>
      <c r="P118" s="294">
        <v>0</v>
      </c>
      <c r="Q118" s="294">
        <v>0</v>
      </c>
      <c r="R118" s="294">
        <v>0</v>
      </c>
      <c r="S118" s="294">
        <v>0</v>
      </c>
      <c r="T118" s="209">
        <v>-13125641</v>
      </c>
      <c r="U118" s="209">
        <v>-13125641</v>
      </c>
      <c r="V118" s="294">
        <v>0</v>
      </c>
      <c r="W118" s="209">
        <v>-13125641</v>
      </c>
      <c r="X118" s="209"/>
      <c r="Y118" s="347"/>
      <c r="Z118" s="347"/>
      <c r="AA118" s="347"/>
      <c r="AB118" s="347"/>
    </row>
    <row r="119" spans="2:28" s="213" customFormat="1" x14ac:dyDescent="0.3">
      <c r="B119" s="214">
        <v>55</v>
      </c>
      <c r="C119" s="207" t="str">
        <f>'Employer Allocations'!A103</f>
        <v>Jackson County Schools</v>
      </c>
      <c r="D119" s="294">
        <v>0</v>
      </c>
      <c r="E119" s="209">
        <v>40911803</v>
      </c>
      <c r="F119" s="209">
        <v>40911803</v>
      </c>
      <c r="G119" s="294">
        <v>0</v>
      </c>
      <c r="H119" s="294">
        <v>0</v>
      </c>
      <c r="I119" s="294">
        <v>0</v>
      </c>
      <c r="J119" s="294">
        <v>0</v>
      </c>
      <c r="K119" s="294">
        <v>0</v>
      </c>
      <c r="L119" s="294"/>
      <c r="M119" s="294"/>
      <c r="N119" s="294">
        <v>0</v>
      </c>
      <c r="O119" s="294">
        <v>0</v>
      </c>
      <c r="P119" s="294">
        <v>0</v>
      </c>
      <c r="Q119" s="294">
        <v>0</v>
      </c>
      <c r="R119" s="294">
        <v>0</v>
      </c>
      <c r="S119" s="294">
        <v>0</v>
      </c>
      <c r="T119" s="209">
        <v>-4539519</v>
      </c>
      <c r="U119" s="209">
        <v>-4539519</v>
      </c>
      <c r="V119" s="294">
        <v>0</v>
      </c>
      <c r="W119" s="209">
        <v>-4539519</v>
      </c>
      <c r="X119" s="209"/>
      <c r="Y119" s="347"/>
      <c r="Z119" s="347"/>
      <c r="AA119" s="347"/>
      <c r="AB119" s="347"/>
    </row>
    <row r="120" spans="2:28" s="213" customFormat="1" x14ac:dyDescent="0.3">
      <c r="B120" s="214">
        <v>56</v>
      </c>
      <c r="C120" s="207" t="str">
        <f>'Employer Allocations'!A104</f>
        <v>Jefferson County Schools</v>
      </c>
      <c r="D120" s="294">
        <v>0</v>
      </c>
      <c r="E120" s="209">
        <v>2780312359</v>
      </c>
      <c r="F120" s="209">
        <v>2780312359</v>
      </c>
      <c r="G120" s="294">
        <v>0</v>
      </c>
      <c r="H120" s="294">
        <v>0</v>
      </c>
      <c r="I120" s="294">
        <v>0</v>
      </c>
      <c r="J120" s="294">
        <v>0</v>
      </c>
      <c r="K120" s="294">
        <v>0</v>
      </c>
      <c r="L120" s="294"/>
      <c r="M120" s="294"/>
      <c r="N120" s="294">
        <v>0</v>
      </c>
      <c r="O120" s="294">
        <v>0</v>
      </c>
      <c r="P120" s="294">
        <v>0</v>
      </c>
      <c r="Q120" s="294">
        <v>0</v>
      </c>
      <c r="R120" s="294">
        <v>0</v>
      </c>
      <c r="S120" s="294">
        <v>0</v>
      </c>
      <c r="T120" s="209">
        <v>-308499752</v>
      </c>
      <c r="U120" s="209">
        <v>-308499752</v>
      </c>
      <c r="V120" s="294">
        <v>0</v>
      </c>
      <c r="W120" s="209">
        <v>-308499752</v>
      </c>
      <c r="X120" s="209"/>
      <c r="Y120" s="347"/>
      <c r="Z120" s="347"/>
      <c r="AA120" s="347"/>
      <c r="AB120" s="347"/>
    </row>
    <row r="121" spans="2:28" s="213" customFormat="1" x14ac:dyDescent="0.3">
      <c r="B121" s="214">
        <v>57</v>
      </c>
      <c r="C121" s="207" t="str">
        <f>'Employer Allocations'!A105</f>
        <v>Jessamine County Schools</v>
      </c>
      <c r="D121" s="294">
        <v>0</v>
      </c>
      <c r="E121" s="209">
        <v>164052982</v>
      </c>
      <c r="F121" s="209">
        <v>164052982</v>
      </c>
      <c r="G121" s="294">
        <v>0</v>
      </c>
      <c r="H121" s="294">
        <v>0</v>
      </c>
      <c r="I121" s="294">
        <v>0</v>
      </c>
      <c r="J121" s="294">
        <v>0</v>
      </c>
      <c r="K121" s="294">
        <v>0</v>
      </c>
      <c r="L121" s="294"/>
      <c r="M121" s="294"/>
      <c r="N121" s="294">
        <v>0</v>
      </c>
      <c r="O121" s="294">
        <v>0</v>
      </c>
      <c r="P121" s="294">
        <v>0</v>
      </c>
      <c r="Q121" s="294">
        <v>0</v>
      </c>
      <c r="R121" s="294">
        <v>0</v>
      </c>
      <c r="S121" s="294">
        <v>0</v>
      </c>
      <c r="T121" s="209">
        <v>-18203100</v>
      </c>
      <c r="U121" s="209">
        <v>-18203100</v>
      </c>
      <c r="V121" s="294">
        <v>0</v>
      </c>
      <c r="W121" s="209">
        <v>-18203100</v>
      </c>
      <c r="X121" s="209"/>
      <c r="Y121" s="347"/>
      <c r="Z121" s="347"/>
      <c r="AA121" s="347"/>
      <c r="AB121" s="347"/>
    </row>
    <row r="122" spans="2:28" s="213" customFormat="1" x14ac:dyDescent="0.3">
      <c r="B122" s="214">
        <v>58</v>
      </c>
      <c r="C122" s="207" t="str">
        <f>'Employer Allocations'!A106</f>
        <v>Johnson County Schools</v>
      </c>
      <c r="D122" s="294">
        <v>0</v>
      </c>
      <c r="E122" s="209">
        <v>67643376</v>
      </c>
      <c r="F122" s="209">
        <v>67643376</v>
      </c>
      <c r="G122" s="294">
        <v>0</v>
      </c>
      <c r="H122" s="294">
        <v>0</v>
      </c>
      <c r="I122" s="294">
        <v>0</v>
      </c>
      <c r="J122" s="294">
        <v>0</v>
      </c>
      <c r="K122" s="294">
        <v>0</v>
      </c>
      <c r="L122" s="294"/>
      <c r="M122" s="294"/>
      <c r="N122" s="294">
        <v>0</v>
      </c>
      <c r="O122" s="294">
        <v>0</v>
      </c>
      <c r="P122" s="294">
        <v>0</v>
      </c>
      <c r="Q122" s="294">
        <v>0</v>
      </c>
      <c r="R122" s="294">
        <v>0</v>
      </c>
      <c r="S122" s="294">
        <v>0</v>
      </c>
      <c r="T122" s="209">
        <v>-7505619</v>
      </c>
      <c r="U122" s="209">
        <v>-7505619</v>
      </c>
      <c r="V122" s="294">
        <v>0</v>
      </c>
      <c r="W122" s="209">
        <v>-7505619</v>
      </c>
      <c r="X122" s="209"/>
      <c r="Y122" s="347"/>
      <c r="Z122" s="347"/>
      <c r="AA122" s="347"/>
      <c r="AB122" s="347"/>
    </row>
    <row r="123" spans="2:28" s="213" customFormat="1" x14ac:dyDescent="0.3">
      <c r="B123" s="214">
        <v>59</v>
      </c>
      <c r="C123" s="207" t="str">
        <f>'Employer Allocations'!A107</f>
        <v>Kenton County Schools</v>
      </c>
      <c r="D123" s="294">
        <v>0</v>
      </c>
      <c r="E123" s="209">
        <v>275146804</v>
      </c>
      <c r="F123" s="209">
        <v>275146804</v>
      </c>
      <c r="G123" s="294">
        <v>0</v>
      </c>
      <c r="H123" s="294">
        <v>0</v>
      </c>
      <c r="I123" s="294">
        <v>0</v>
      </c>
      <c r="J123" s="294">
        <v>0</v>
      </c>
      <c r="K123" s="294">
        <v>0</v>
      </c>
      <c r="L123" s="294"/>
      <c r="M123" s="294"/>
      <c r="N123" s="294">
        <v>0</v>
      </c>
      <c r="O123" s="294">
        <v>0</v>
      </c>
      <c r="P123" s="294">
        <v>0</v>
      </c>
      <c r="Q123" s="294">
        <v>0</v>
      </c>
      <c r="R123" s="294">
        <v>0</v>
      </c>
      <c r="S123" s="294">
        <v>0</v>
      </c>
      <c r="T123" s="209">
        <v>-30529922</v>
      </c>
      <c r="U123" s="209">
        <v>-30529922</v>
      </c>
      <c r="V123" s="294">
        <v>0</v>
      </c>
      <c r="W123" s="209">
        <v>-30529922</v>
      </c>
      <c r="X123" s="209"/>
      <c r="Y123" s="347"/>
      <c r="Z123" s="347"/>
      <c r="AA123" s="347"/>
      <c r="AB123" s="347"/>
    </row>
    <row r="124" spans="2:28" s="213" customFormat="1" x14ac:dyDescent="0.3">
      <c r="B124" s="214">
        <v>60</v>
      </c>
      <c r="C124" s="207" t="s">
        <v>730</v>
      </c>
      <c r="D124" s="294">
        <v>0</v>
      </c>
      <c r="E124" s="209">
        <v>40883174</v>
      </c>
      <c r="F124" s="209">
        <v>40883174</v>
      </c>
      <c r="G124" s="294">
        <v>0</v>
      </c>
      <c r="H124" s="294">
        <v>0</v>
      </c>
      <c r="I124" s="294">
        <v>0</v>
      </c>
      <c r="J124" s="294">
        <v>0</v>
      </c>
      <c r="K124" s="294">
        <v>0</v>
      </c>
      <c r="L124" s="294"/>
      <c r="M124" s="294"/>
      <c r="N124" s="294">
        <v>0</v>
      </c>
      <c r="O124" s="294">
        <v>0</v>
      </c>
      <c r="P124" s="294">
        <v>0</v>
      </c>
      <c r="Q124" s="294">
        <v>0</v>
      </c>
      <c r="R124" s="294">
        <v>0</v>
      </c>
      <c r="S124" s="294">
        <v>0</v>
      </c>
      <c r="T124" s="209">
        <v>-4536342</v>
      </c>
      <c r="U124" s="209">
        <v>-4536342</v>
      </c>
      <c r="V124" s="294">
        <v>0</v>
      </c>
      <c r="W124" s="209">
        <v>-4536342</v>
      </c>
      <c r="X124" s="209"/>
      <c r="Y124" s="347"/>
      <c r="Z124" s="347"/>
      <c r="AA124" s="347"/>
      <c r="AB124" s="347"/>
    </row>
    <row r="125" spans="2:28" s="213" customFormat="1" x14ac:dyDescent="0.3">
      <c r="B125" s="214">
        <v>61</v>
      </c>
      <c r="C125" s="207" t="str">
        <f>'Employer Allocations'!A109</f>
        <v>Knox County Schools</v>
      </c>
      <c r="D125" s="294">
        <v>0</v>
      </c>
      <c r="E125" s="209">
        <v>79882633</v>
      </c>
      <c r="F125" s="209">
        <v>79882633</v>
      </c>
      <c r="G125" s="294">
        <v>0</v>
      </c>
      <c r="H125" s="294">
        <v>0</v>
      </c>
      <c r="I125" s="294">
        <v>0</v>
      </c>
      <c r="J125" s="294">
        <v>0</v>
      </c>
      <c r="K125" s="294">
        <v>0</v>
      </c>
      <c r="L125" s="294"/>
      <c r="M125" s="294"/>
      <c r="N125" s="294">
        <v>0</v>
      </c>
      <c r="O125" s="294">
        <v>0</v>
      </c>
      <c r="P125" s="294">
        <v>0</v>
      </c>
      <c r="Q125" s="294">
        <v>0</v>
      </c>
      <c r="R125" s="294">
        <v>0</v>
      </c>
      <c r="S125" s="294">
        <v>0</v>
      </c>
      <c r="T125" s="209">
        <v>-8863670</v>
      </c>
      <c r="U125" s="209">
        <v>-8863670</v>
      </c>
      <c r="V125" s="294">
        <v>0</v>
      </c>
      <c r="W125" s="209">
        <v>-8863670</v>
      </c>
      <c r="X125" s="209"/>
      <c r="Y125" s="347"/>
      <c r="Z125" s="347"/>
      <c r="AA125" s="347"/>
      <c r="AB125" s="347"/>
    </row>
    <row r="126" spans="2:28" s="213" customFormat="1" x14ac:dyDescent="0.3">
      <c r="B126" s="214">
        <v>62</v>
      </c>
      <c r="C126" s="207" t="str">
        <f>'Employer Allocations'!A110</f>
        <v>Larue County Schools</v>
      </c>
      <c r="D126" s="294">
        <v>0</v>
      </c>
      <c r="E126" s="209">
        <v>46641749</v>
      </c>
      <c r="F126" s="209">
        <v>46641749</v>
      </c>
      <c r="G126" s="294">
        <v>0</v>
      </c>
      <c r="H126" s="294">
        <v>0</v>
      </c>
      <c r="I126" s="294">
        <v>0</v>
      </c>
      <c r="J126" s="294">
        <v>0</v>
      </c>
      <c r="K126" s="294">
        <v>0</v>
      </c>
      <c r="L126" s="294"/>
      <c r="M126" s="294"/>
      <c r="N126" s="294">
        <v>0</v>
      </c>
      <c r="O126" s="294">
        <v>0</v>
      </c>
      <c r="P126" s="294">
        <v>0</v>
      </c>
      <c r="Q126" s="294">
        <v>0</v>
      </c>
      <c r="R126" s="294">
        <v>0</v>
      </c>
      <c r="S126" s="294">
        <v>0</v>
      </c>
      <c r="T126" s="209">
        <v>-5175306</v>
      </c>
      <c r="U126" s="209">
        <v>-5175306</v>
      </c>
      <c r="V126" s="294">
        <v>0</v>
      </c>
      <c r="W126" s="209">
        <v>-5175306</v>
      </c>
      <c r="X126" s="209"/>
      <c r="Y126" s="347"/>
      <c r="Z126" s="347"/>
      <c r="AA126" s="347"/>
      <c r="AB126" s="347"/>
    </row>
    <row r="127" spans="2:28" s="213" customFormat="1" x14ac:dyDescent="0.3">
      <c r="B127" s="214">
        <v>63</v>
      </c>
      <c r="C127" s="207" t="str">
        <f>'Employer Allocations'!A111</f>
        <v>Laurel County Schools</v>
      </c>
      <c r="D127" s="294">
        <v>0</v>
      </c>
      <c r="E127" s="209">
        <v>154783789</v>
      </c>
      <c r="F127" s="209">
        <v>154783789</v>
      </c>
      <c r="G127" s="294">
        <v>0</v>
      </c>
      <c r="H127" s="294">
        <v>0</v>
      </c>
      <c r="I127" s="294">
        <v>0</v>
      </c>
      <c r="J127" s="294">
        <v>0</v>
      </c>
      <c r="K127" s="294">
        <v>0</v>
      </c>
      <c r="L127" s="294"/>
      <c r="M127" s="294"/>
      <c r="N127" s="294">
        <v>0</v>
      </c>
      <c r="O127" s="294">
        <v>0</v>
      </c>
      <c r="P127" s="294">
        <v>0</v>
      </c>
      <c r="Q127" s="294">
        <v>0</v>
      </c>
      <c r="R127" s="294">
        <v>0</v>
      </c>
      <c r="S127" s="294">
        <v>0</v>
      </c>
      <c r="T127" s="209">
        <v>-17174603</v>
      </c>
      <c r="U127" s="209">
        <v>-17174603</v>
      </c>
      <c r="V127" s="294">
        <v>0</v>
      </c>
      <c r="W127" s="209">
        <v>-17174603</v>
      </c>
      <c r="X127" s="209"/>
      <c r="Y127" s="347"/>
      <c r="Z127" s="347"/>
      <c r="AA127" s="347"/>
      <c r="AB127" s="347"/>
    </row>
    <row r="128" spans="2:28" s="213" customFormat="1" x14ac:dyDescent="0.3">
      <c r="B128" s="214">
        <v>64</v>
      </c>
      <c r="C128" s="207" t="str">
        <f>'Employer Allocations'!A112</f>
        <v>Lawrence County Schools</v>
      </c>
      <c r="D128" s="294">
        <v>0</v>
      </c>
      <c r="E128" s="209">
        <v>46322434</v>
      </c>
      <c r="F128" s="209">
        <v>46322434</v>
      </c>
      <c r="G128" s="294">
        <v>0</v>
      </c>
      <c r="H128" s="294">
        <v>0</v>
      </c>
      <c r="I128" s="294">
        <v>0</v>
      </c>
      <c r="J128" s="294">
        <v>0</v>
      </c>
      <c r="K128" s="294">
        <v>0</v>
      </c>
      <c r="L128" s="294"/>
      <c r="M128" s="294"/>
      <c r="N128" s="294">
        <v>0</v>
      </c>
      <c r="O128" s="294">
        <v>0</v>
      </c>
      <c r="P128" s="294">
        <v>0</v>
      </c>
      <c r="Q128" s="294">
        <v>0</v>
      </c>
      <c r="R128" s="294">
        <v>0</v>
      </c>
      <c r="S128" s="294">
        <v>0</v>
      </c>
      <c r="T128" s="209">
        <v>-5139876</v>
      </c>
      <c r="U128" s="209">
        <v>-5139876</v>
      </c>
      <c r="V128" s="294">
        <v>0</v>
      </c>
      <c r="W128" s="209">
        <v>-5139876</v>
      </c>
      <c r="X128" s="209"/>
      <c r="Y128" s="347"/>
      <c r="Z128" s="347"/>
      <c r="AA128" s="347"/>
      <c r="AB128" s="347"/>
    </row>
    <row r="129" spans="2:28" s="213" customFormat="1" x14ac:dyDescent="0.3">
      <c r="B129" s="214">
        <v>65</v>
      </c>
      <c r="C129" s="207" t="str">
        <f>'Employer Allocations'!A113</f>
        <v>Lee County Schools</v>
      </c>
      <c r="D129" s="294">
        <v>0</v>
      </c>
      <c r="E129" s="209">
        <v>13794870</v>
      </c>
      <c r="F129" s="209">
        <v>13794870</v>
      </c>
      <c r="G129" s="294">
        <v>0</v>
      </c>
      <c r="H129" s="294">
        <v>0</v>
      </c>
      <c r="I129" s="294">
        <v>0</v>
      </c>
      <c r="J129" s="294">
        <v>0</v>
      </c>
      <c r="K129" s="294">
        <v>0</v>
      </c>
      <c r="L129" s="294"/>
      <c r="M129" s="294"/>
      <c r="N129" s="294">
        <v>0</v>
      </c>
      <c r="O129" s="294">
        <v>0</v>
      </c>
      <c r="P129" s="294">
        <v>0</v>
      </c>
      <c r="Q129" s="294">
        <v>0</v>
      </c>
      <c r="R129" s="294">
        <v>0</v>
      </c>
      <c r="S129" s="294">
        <v>0</v>
      </c>
      <c r="T129" s="209">
        <v>-1530660</v>
      </c>
      <c r="U129" s="209">
        <v>-1530660</v>
      </c>
      <c r="V129" s="294">
        <v>0</v>
      </c>
      <c r="W129" s="209">
        <v>-1530660</v>
      </c>
      <c r="X129" s="209"/>
      <c r="Y129" s="347"/>
      <c r="Z129" s="347"/>
      <c r="AA129" s="347"/>
      <c r="AB129" s="347"/>
    </row>
    <row r="130" spans="2:28" s="213" customFormat="1" x14ac:dyDescent="0.3">
      <c r="B130" s="214">
        <v>66</v>
      </c>
      <c r="C130" s="207" t="str">
        <f>'Employer Allocations'!A114</f>
        <v>Leslie County Schools</v>
      </c>
      <c r="D130" s="294">
        <v>0</v>
      </c>
      <c r="E130" s="209">
        <v>30276772</v>
      </c>
      <c r="F130" s="209">
        <v>30276772</v>
      </c>
      <c r="G130" s="294">
        <v>0</v>
      </c>
      <c r="H130" s="294">
        <v>0</v>
      </c>
      <c r="I130" s="294">
        <v>0</v>
      </c>
      <c r="J130" s="294">
        <v>0</v>
      </c>
      <c r="K130" s="294">
        <v>0</v>
      </c>
      <c r="L130" s="294"/>
      <c r="M130" s="294"/>
      <c r="N130" s="294">
        <v>0</v>
      </c>
      <c r="O130" s="294">
        <v>0</v>
      </c>
      <c r="P130" s="294">
        <v>0</v>
      </c>
      <c r="Q130" s="294">
        <v>0</v>
      </c>
      <c r="R130" s="294">
        <v>0</v>
      </c>
      <c r="S130" s="294">
        <v>0</v>
      </c>
      <c r="T130" s="209">
        <v>-3359470</v>
      </c>
      <c r="U130" s="209">
        <v>-3359470</v>
      </c>
      <c r="V130" s="294">
        <v>0</v>
      </c>
      <c r="W130" s="209">
        <v>-3359470</v>
      </c>
      <c r="X130" s="209"/>
      <c r="Y130" s="347"/>
      <c r="Z130" s="347"/>
      <c r="AA130" s="347"/>
      <c r="AB130" s="347"/>
    </row>
    <row r="131" spans="2:28" s="213" customFormat="1" x14ac:dyDescent="0.3">
      <c r="B131" s="214">
        <v>67</v>
      </c>
      <c r="C131" s="207" t="str">
        <f>'Employer Allocations'!A115</f>
        <v>Letcher County Schools</v>
      </c>
      <c r="D131" s="294">
        <v>0</v>
      </c>
      <c r="E131" s="209">
        <v>56856979</v>
      </c>
      <c r="F131" s="209">
        <v>56856979</v>
      </c>
      <c r="G131" s="294">
        <v>0</v>
      </c>
      <c r="H131" s="294">
        <v>0</v>
      </c>
      <c r="I131" s="294">
        <v>0</v>
      </c>
      <c r="J131" s="294">
        <v>0</v>
      </c>
      <c r="K131" s="294">
        <v>0</v>
      </c>
      <c r="L131" s="294"/>
      <c r="M131" s="294"/>
      <c r="N131" s="294">
        <v>0</v>
      </c>
      <c r="O131" s="294">
        <v>0</v>
      </c>
      <c r="P131" s="294">
        <v>0</v>
      </c>
      <c r="Q131" s="294">
        <v>0</v>
      </c>
      <c r="R131" s="294">
        <v>0</v>
      </c>
      <c r="S131" s="294">
        <v>0</v>
      </c>
      <c r="T131" s="209">
        <v>-6308775</v>
      </c>
      <c r="U131" s="209">
        <v>-6308775</v>
      </c>
      <c r="V131" s="294">
        <v>0</v>
      </c>
      <c r="W131" s="209">
        <v>-6308775</v>
      </c>
      <c r="X131" s="209"/>
      <c r="Y131" s="347"/>
      <c r="Z131" s="347"/>
      <c r="AA131" s="347"/>
      <c r="AB131" s="347"/>
    </row>
    <row r="132" spans="2:28" s="213" customFormat="1" x14ac:dyDescent="0.3">
      <c r="B132" s="214">
        <v>68</v>
      </c>
      <c r="C132" s="207" t="str">
        <f>'Employer Allocations'!A116</f>
        <v>Lewis County Schools</v>
      </c>
      <c r="D132" s="294">
        <v>0</v>
      </c>
      <c r="E132" s="209">
        <v>36589648</v>
      </c>
      <c r="F132" s="209">
        <v>36589648</v>
      </c>
      <c r="G132" s="294">
        <v>0</v>
      </c>
      <c r="H132" s="294">
        <v>0</v>
      </c>
      <c r="I132" s="294">
        <v>0</v>
      </c>
      <c r="J132" s="294">
        <v>0</v>
      </c>
      <c r="K132" s="294">
        <v>0</v>
      </c>
      <c r="L132" s="294"/>
      <c r="M132" s="294"/>
      <c r="N132" s="294">
        <v>0</v>
      </c>
      <c r="O132" s="294">
        <v>0</v>
      </c>
      <c r="P132" s="294">
        <v>0</v>
      </c>
      <c r="Q132" s="294">
        <v>0</v>
      </c>
      <c r="R132" s="294">
        <v>0</v>
      </c>
      <c r="S132" s="294">
        <v>0</v>
      </c>
      <c r="T132" s="209">
        <v>-4059939</v>
      </c>
      <c r="U132" s="209">
        <v>-4059939</v>
      </c>
      <c r="V132" s="294">
        <v>0</v>
      </c>
      <c r="W132" s="209">
        <v>-4059939</v>
      </c>
      <c r="X132" s="209"/>
      <c r="Y132" s="347"/>
      <c r="Z132" s="347"/>
      <c r="AA132" s="347"/>
      <c r="AB132" s="347"/>
    </row>
    <row r="133" spans="2:28" s="213" customFormat="1" x14ac:dyDescent="0.3">
      <c r="B133" s="214">
        <v>69</v>
      </c>
      <c r="C133" s="207" t="str">
        <f>'Employer Allocations'!A117</f>
        <v>Lincoln County Schools</v>
      </c>
      <c r="D133" s="294">
        <v>0</v>
      </c>
      <c r="E133" s="209">
        <v>60845647</v>
      </c>
      <c r="F133" s="209">
        <v>60845647</v>
      </c>
      <c r="G133" s="294">
        <v>0</v>
      </c>
      <c r="H133" s="294">
        <v>0</v>
      </c>
      <c r="I133" s="294">
        <v>0</v>
      </c>
      <c r="J133" s="294">
        <v>0</v>
      </c>
      <c r="K133" s="294">
        <v>0</v>
      </c>
      <c r="L133" s="294"/>
      <c r="M133" s="294"/>
      <c r="N133" s="294">
        <v>0</v>
      </c>
      <c r="O133" s="294">
        <v>0</v>
      </c>
      <c r="P133" s="294">
        <v>0</v>
      </c>
      <c r="Q133" s="294">
        <v>0</v>
      </c>
      <c r="R133" s="294">
        <v>0</v>
      </c>
      <c r="S133" s="294">
        <v>0</v>
      </c>
      <c r="T133" s="209">
        <v>-6751352</v>
      </c>
      <c r="U133" s="209">
        <v>-6751352</v>
      </c>
      <c r="V133" s="294">
        <v>0</v>
      </c>
      <c r="W133" s="209">
        <v>-6751352</v>
      </c>
      <c r="X133" s="209"/>
      <c r="Y133" s="347"/>
      <c r="Z133" s="347"/>
      <c r="AA133" s="347"/>
      <c r="AB133" s="347"/>
    </row>
    <row r="134" spans="2:28" s="213" customFormat="1" x14ac:dyDescent="0.3">
      <c r="B134" s="214">
        <v>70</v>
      </c>
      <c r="C134" s="207" t="str">
        <f>'Employer Allocations'!A118</f>
        <v>Livingston County Schools</v>
      </c>
      <c r="D134" s="294">
        <v>0</v>
      </c>
      <c r="E134" s="209">
        <v>23560821</v>
      </c>
      <c r="F134" s="209">
        <v>23560821</v>
      </c>
      <c r="G134" s="294">
        <v>0</v>
      </c>
      <c r="H134" s="294">
        <v>0</v>
      </c>
      <c r="I134" s="294">
        <v>0</v>
      </c>
      <c r="J134" s="294">
        <v>0</v>
      </c>
      <c r="K134" s="294">
        <v>0</v>
      </c>
      <c r="L134" s="294"/>
      <c r="M134" s="294"/>
      <c r="N134" s="294">
        <v>0</v>
      </c>
      <c r="O134" s="294">
        <v>0</v>
      </c>
      <c r="P134" s="294">
        <v>0</v>
      </c>
      <c r="Q134" s="294">
        <v>0</v>
      </c>
      <c r="R134" s="294">
        <v>0</v>
      </c>
      <c r="S134" s="294">
        <v>0</v>
      </c>
      <c r="T134" s="209">
        <v>-2614277</v>
      </c>
      <c r="U134" s="209">
        <v>-2614277</v>
      </c>
      <c r="V134" s="294">
        <v>0</v>
      </c>
      <c r="W134" s="209">
        <v>-2614277</v>
      </c>
      <c r="X134" s="209"/>
      <c r="Y134" s="347"/>
      <c r="Z134" s="347"/>
      <c r="AA134" s="347"/>
      <c r="AB134" s="347"/>
    </row>
    <row r="135" spans="2:28" s="213" customFormat="1" x14ac:dyDescent="0.3">
      <c r="B135" s="214">
        <v>71</v>
      </c>
      <c r="C135" s="207" t="str">
        <f>'Employer Allocations'!A119</f>
        <v>Logan County Schools</v>
      </c>
      <c r="D135" s="294">
        <v>0</v>
      </c>
      <c r="E135" s="209">
        <v>63246530</v>
      </c>
      <c r="F135" s="209">
        <v>63246530</v>
      </c>
      <c r="G135" s="294">
        <v>0</v>
      </c>
      <c r="H135" s="294">
        <v>0</v>
      </c>
      <c r="I135" s="294">
        <v>0</v>
      </c>
      <c r="J135" s="294">
        <v>0</v>
      </c>
      <c r="K135" s="294">
        <v>0</v>
      </c>
      <c r="L135" s="294"/>
      <c r="M135" s="294"/>
      <c r="N135" s="294">
        <v>0</v>
      </c>
      <c r="O135" s="294">
        <v>0</v>
      </c>
      <c r="P135" s="294">
        <v>0</v>
      </c>
      <c r="Q135" s="294">
        <v>0</v>
      </c>
      <c r="R135" s="294">
        <v>0</v>
      </c>
      <c r="S135" s="294">
        <v>0</v>
      </c>
      <c r="T135" s="209">
        <v>-7017751</v>
      </c>
      <c r="U135" s="209">
        <v>-7017751</v>
      </c>
      <c r="V135" s="294">
        <v>0</v>
      </c>
      <c r="W135" s="209">
        <v>-7017751</v>
      </c>
      <c r="X135" s="209"/>
      <c r="Y135" s="347"/>
      <c r="Z135" s="347"/>
      <c r="AA135" s="347"/>
      <c r="AB135" s="347"/>
    </row>
    <row r="136" spans="2:28" s="213" customFormat="1" x14ac:dyDescent="0.3">
      <c r="B136" s="214">
        <v>72</v>
      </c>
      <c r="C136" s="207" t="str">
        <f>'Employer Allocations'!A120</f>
        <v>Lyon County Schools</v>
      </c>
      <c r="D136" s="294">
        <v>0</v>
      </c>
      <c r="E136" s="209">
        <v>15949570</v>
      </c>
      <c r="F136" s="209">
        <v>15949570</v>
      </c>
      <c r="G136" s="294">
        <v>0</v>
      </c>
      <c r="H136" s="294">
        <v>0</v>
      </c>
      <c r="I136" s="294">
        <v>0</v>
      </c>
      <c r="J136" s="294">
        <v>0</v>
      </c>
      <c r="K136" s="294">
        <v>0</v>
      </c>
      <c r="L136" s="294"/>
      <c r="M136" s="294"/>
      <c r="N136" s="294">
        <v>0</v>
      </c>
      <c r="O136" s="294">
        <v>0</v>
      </c>
      <c r="P136" s="294">
        <v>0</v>
      </c>
      <c r="Q136" s="294">
        <v>0</v>
      </c>
      <c r="R136" s="294">
        <v>0</v>
      </c>
      <c r="S136" s="294">
        <v>0</v>
      </c>
      <c r="T136" s="209">
        <v>-1769743</v>
      </c>
      <c r="U136" s="209">
        <v>-1769743</v>
      </c>
      <c r="V136" s="294">
        <v>0</v>
      </c>
      <c r="W136" s="209">
        <v>-1769743</v>
      </c>
      <c r="X136" s="209"/>
      <c r="Y136" s="347"/>
      <c r="Z136" s="347"/>
      <c r="AA136" s="347"/>
      <c r="AB136" s="347"/>
    </row>
    <row r="137" spans="2:28" s="213" customFormat="1" x14ac:dyDescent="0.3">
      <c r="B137" s="214">
        <v>73</v>
      </c>
      <c r="C137" s="207" t="str">
        <f>'Employer Allocations'!A121</f>
        <v>Madison County Schools</v>
      </c>
      <c r="D137" s="294">
        <v>0</v>
      </c>
      <c r="E137" s="209">
        <v>196593160</v>
      </c>
      <c r="F137" s="209">
        <v>196593160</v>
      </c>
      <c r="G137" s="294">
        <v>0</v>
      </c>
      <c r="H137" s="294">
        <v>0</v>
      </c>
      <c r="I137" s="294">
        <v>0</v>
      </c>
      <c r="J137" s="294">
        <v>0</v>
      </c>
      <c r="K137" s="294">
        <v>0</v>
      </c>
      <c r="L137" s="294"/>
      <c r="M137" s="294"/>
      <c r="N137" s="294">
        <v>0</v>
      </c>
      <c r="O137" s="294">
        <v>0</v>
      </c>
      <c r="P137" s="294">
        <v>0</v>
      </c>
      <c r="Q137" s="294">
        <v>0</v>
      </c>
      <c r="R137" s="294">
        <v>0</v>
      </c>
      <c r="S137" s="294">
        <v>0</v>
      </c>
      <c r="T137" s="209">
        <v>-21813715</v>
      </c>
      <c r="U137" s="209">
        <v>-21813715</v>
      </c>
      <c r="V137" s="294">
        <v>0</v>
      </c>
      <c r="W137" s="209">
        <v>-21813715</v>
      </c>
      <c r="X137" s="209"/>
      <c r="Y137" s="347"/>
      <c r="Z137" s="347"/>
      <c r="AA137" s="347"/>
      <c r="AB137" s="347"/>
    </row>
    <row r="138" spans="2:28" s="213" customFormat="1" x14ac:dyDescent="0.3">
      <c r="B138" s="214">
        <v>74</v>
      </c>
      <c r="C138" s="207" t="str">
        <f>'Employer Allocations'!A122</f>
        <v>Magoffin County Schools</v>
      </c>
      <c r="D138" s="294">
        <v>0</v>
      </c>
      <c r="E138" s="209">
        <v>33682085</v>
      </c>
      <c r="F138" s="209">
        <v>33682085</v>
      </c>
      <c r="G138" s="294">
        <v>0</v>
      </c>
      <c r="H138" s="294">
        <v>0</v>
      </c>
      <c r="I138" s="294">
        <v>0</v>
      </c>
      <c r="J138" s="294">
        <v>0</v>
      </c>
      <c r="K138" s="294">
        <v>0</v>
      </c>
      <c r="L138" s="294"/>
      <c r="M138" s="294"/>
      <c r="N138" s="294">
        <v>0</v>
      </c>
      <c r="O138" s="294">
        <v>0</v>
      </c>
      <c r="P138" s="294">
        <v>0</v>
      </c>
      <c r="Q138" s="294">
        <v>0</v>
      </c>
      <c r="R138" s="294">
        <v>0</v>
      </c>
      <c r="S138" s="294">
        <v>0</v>
      </c>
      <c r="T138" s="209">
        <v>-3737319</v>
      </c>
      <c r="U138" s="209">
        <v>-3737319</v>
      </c>
      <c r="V138" s="294">
        <v>0</v>
      </c>
      <c r="W138" s="209">
        <v>-3737319</v>
      </c>
      <c r="X138" s="209"/>
      <c r="Y138" s="347"/>
      <c r="Z138" s="347"/>
      <c r="AA138" s="347"/>
      <c r="AB138" s="347"/>
    </row>
    <row r="139" spans="2:28" s="213" customFormat="1" x14ac:dyDescent="0.3">
      <c r="B139" s="214">
        <v>75</v>
      </c>
      <c r="C139" s="207" t="str">
        <f>'Employer Allocations'!A123</f>
        <v>Marion County Schools</v>
      </c>
      <c r="D139" s="294">
        <v>0</v>
      </c>
      <c r="E139" s="209">
        <v>65627287</v>
      </c>
      <c r="F139" s="209">
        <v>65627287</v>
      </c>
      <c r="G139" s="294">
        <v>0</v>
      </c>
      <c r="H139" s="294">
        <v>0</v>
      </c>
      <c r="I139" s="294">
        <v>0</v>
      </c>
      <c r="J139" s="294">
        <v>0</v>
      </c>
      <c r="K139" s="294">
        <v>0</v>
      </c>
      <c r="L139" s="294"/>
      <c r="M139" s="294"/>
      <c r="N139" s="294">
        <v>0</v>
      </c>
      <c r="O139" s="294">
        <v>0</v>
      </c>
      <c r="P139" s="294">
        <v>0</v>
      </c>
      <c r="Q139" s="294">
        <v>0</v>
      </c>
      <c r="R139" s="294">
        <v>0</v>
      </c>
      <c r="S139" s="294">
        <v>0</v>
      </c>
      <c r="T139" s="209">
        <v>-7281916</v>
      </c>
      <c r="U139" s="209">
        <v>-7281916</v>
      </c>
      <c r="V139" s="294">
        <v>0</v>
      </c>
      <c r="W139" s="209">
        <v>-7281916</v>
      </c>
      <c r="X139" s="209"/>
      <c r="Y139" s="347"/>
      <c r="Z139" s="347"/>
      <c r="AA139" s="347"/>
      <c r="AB139" s="347"/>
    </row>
    <row r="140" spans="2:28" s="213" customFormat="1" x14ac:dyDescent="0.3">
      <c r="B140" s="214">
        <v>76</v>
      </c>
      <c r="C140" s="207" t="str">
        <f>'Employer Allocations'!A124</f>
        <v>Marshall County Schools</v>
      </c>
      <c r="D140" s="294">
        <v>0</v>
      </c>
      <c r="E140" s="209">
        <v>89201714</v>
      </c>
      <c r="F140" s="209">
        <v>89201714</v>
      </c>
      <c r="G140" s="294">
        <v>0</v>
      </c>
      <c r="H140" s="294">
        <v>0</v>
      </c>
      <c r="I140" s="294">
        <v>0</v>
      </c>
      <c r="J140" s="294">
        <v>0</v>
      </c>
      <c r="K140" s="294">
        <v>0</v>
      </c>
      <c r="L140" s="294"/>
      <c r="M140" s="294"/>
      <c r="N140" s="294">
        <v>0</v>
      </c>
      <c r="O140" s="294">
        <v>0</v>
      </c>
      <c r="P140" s="294">
        <v>0</v>
      </c>
      <c r="Q140" s="294">
        <v>0</v>
      </c>
      <c r="R140" s="294">
        <v>0</v>
      </c>
      <c r="S140" s="294">
        <v>0</v>
      </c>
      <c r="T140" s="209">
        <v>-9897703</v>
      </c>
      <c r="U140" s="209">
        <v>-9897703</v>
      </c>
      <c r="V140" s="294">
        <v>0</v>
      </c>
      <c r="W140" s="209">
        <v>-9897703</v>
      </c>
      <c r="X140" s="209"/>
      <c r="Y140" s="347"/>
      <c r="Z140" s="347"/>
      <c r="AA140" s="347"/>
      <c r="AB140" s="347"/>
    </row>
    <row r="141" spans="2:28" s="213" customFormat="1" x14ac:dyDescent="0.3">
      <c r="B141" s="214">
        <v>77</v>
      </c>
      <c r="C141" s="207" t="str">
        <f>'Employer Allocations'!A125</f>
        <v>Martin County Schools</v>
      </c>
      <c r="D141" s="294">
        <v>0</v>
      </c>
      <c r="E141" s="209">
        <v>29473738</v>
      </c>
      <c r="F141" s="209">
        <v>29473738</v>
      </c>
      <c r="G141" s="294">
        <v>0</v>
      </c>
      <c r="H141" s="294">
        <v>0</v>
      </c>
      <c r="I141" s="294">
        <v>0</v>
      </c>
      <c r="J141" s="294">
        <v>0</v>
      </c>
      <c r="K141" s="294">
        <v>0</v>
      </c>
      <c r="L141" s="294"/>
      <c r="M141" s="294"/>
      <c r="N141" s="294">
        <v>0</v>
      </c>
      <c r="O141" s="294">
        <v>0</v>
      </c>
      <c r="P141" s="294">
        <v>0</v>
      </c>
      <c r="Q141" s="294">
        <v>0</v>
      </c>
      <c r="R141" s="294">
        <v>0</v>
      </c>
      <c r="S141" s="294">
        <v>0</v>
      </c>
      <c r="T141" s="209">
        <v>-3270367</v>
      </c>
      <c r="U141" s="209">
        <v>-3270367</v>
      </c>
      <c r="V141" s="294">
        <v>0</v>
      </c>
      <c r="W141" s="209">
        <v>-3270367</v>
      </c>
      <c r="X141" s="209"/>
      <c r="Y141" s="347"/>
      <c r="Z141" s="347"/>
      <c r="AA141" s="347"/>
      <c r="AB141" s="347"/>
    </row>
    <row r="142" spans="2:28" s="213" customFormat="1" x14ac:dyDescent="0.3">
      <c r="B142" s="214">
        <v>78</v>
      </c>
      <c r="C142" s="207" t="str">
        <f>'Employer Allocations'!A126</f>
        <v>Mason County Schools</v>
      </c>
      <c r="D142" s="294">
        <v>0</v>
      </c>
      <c r="E142" s="209">
        <v>52406134</v>
      </c>
      <c r="F142" s="209">
        <v>52406134</v>
      </c>
      <c r="G142" s="294">
        <v>0</v>
      </c>
      <c r="H142" s="294">
        <v>0</v>
      </c>
      <c r="I142" s="294">
        <v>0</v>
      </c>
      <c r="J142" s="294">
        <v>0</v>
      </c>
      <c r="K142" s="294">
        <v>0</v>
      </c>
      <c r="L142" s="294"/>
      <c r="M142" s="294"/>
      <c r="N142" s="294">
        <v>0</v>
      </c>
      <c r="O142" s="294">
        <v>0</v>
      </c>
      <c r="P142" s="294">
        <v>0</v>
      </c>
      <c r="Q142" s="294">
        <v>0</v>
      </c>
      <c r="R142" s="294">
        <v>0</v>
      </c>
      <c r="S142" s="294">
        <v>0</v>
      </c>
      <c r="T142" s="209">
        <v>-5814915</v>
      </c>
      <c r="U142" s="209">
        <v>-5814915</v>
      </c>
      <c r="V142" s="294">
        <v>0</v>
      </c>
      <c r="W142" s="209">
        <v>-5814915</v>
      </c>
      <c r="X142" s="209"/>
      <c r="Y142" s="347"/>
      <c r="Z142" s="347"/>
      <c r="AA142" s="347"/>
      <c r="AB142" s="347"/>
    </row>
    <row r="143" spans="2:28" s="213" customFormat="1" x14ac:dyDescent="0.3">
      <c r="B143" s="214">
        <v>79</v>
      </c>
      <c r="C143" s="207" t="str">
        <f>'Employer Allocations'!A127</f>
        <v>McCracken County Schools</v>
      </c>
      <c r="D143" s="294">
        <v>0</v>
      </c>
      <c r="E143" s="209">
        <v>134340998</v>
      </c>
      <c r="F143" s="209">
        <v>134340998</v>
      </c>
      <c r="G143" s="294">
        <v>0</v>
      </c>
      <c r="H143" s="294">
        <v>0</v>
      </c>
      <c r="I143" s="294">
        <v>0</v>
      </c>
      <c r="J143" s="294">
        <v>0</v>
      </c>
      <c r="K143" s="294">
        <v>0</v>
      </c>
      <c r="L143" s="294"/>
      <c r="M143" s="294"/>
      <c r="N143" s="294">
        <v>0</v>
      </c>
      <c r="O143" s="294">
        <v>0</v>
      </c>
      <c r="P143" s="294">
        <v>0</v>
      </c>
      <c r="Q143" s="294">
        <v>0</v>
      </c>
      <c r="R143" s="294">
        <v>0</v>
      </c>
      <c r="S143" s="294">
        <v>0</v>
      </c>
      <c r="T143" s="209">
        <v>-14906298</v>
      </c>
      <c r="U143" s="209">
        <v>-14906298</v>
      </c>
      <c r="V143" s="294">
        <v>0</v>
      </c>
      <c r="W143" s="209">
        <v>-14906298</v>
      </c>
      <c r="X143" s="209"/>
      <c r="Y143" s="347"/>
      <c r="Z143" s="347"/>
      <c r="AA143" s="347"/>
      <c r="AB143" s="347"/>
    </row>
    <row r="144" spans="2:28" s="213" customFormat="1" x14ac:dyDescent="0.3">
      <c r="B144" s="214">
        <v>80</v>
      </c>
      <c r="C144" s="207" t="str">
        <f>'Employer Allocations'!A128</f>
        <v>McCreary County Schools</v>
      </c>
      <c r="D144" s="294">
        <v>0</v>
      </c>
      <c r="E144" s="209">
        <v>48892966</v>
      </c>
      <c r="F144" s="209">
        <v>48892966</v>
      </c>
      <c r="G144" s="294">
        <v>0</v>
      </c>
      <c r="H144" s="294">
        <v>0</v>
      </c>
      <c r="I144" s="294">
        <v>0</v>
      </c>
      <c r="J144" s="294">
        <v>0</v>
      </c>
      <c r="K144" s="294">
        <v>0</v>
      </c>
      <c r="L144" s="294"/>
      <c r="M144" s="294"/>
      <c r="N144" s="294">
        <v>0</v>
      </c>
      <c r="O144" s="294">
        <v>0</v>
      </c>
      <c r="P144" s="294">
        <v>0</v>
      </c>
      <c r="Q144" s="294">
        <v>0</v>
      </c>
      <c r="R144" s="294">
        <v>0</v>
      </c>
      <c r="S144" s="294">
        <v>0</v>
      </c>
      <c r="T144" s="209">
        <v>-5425098</v>
      </c>
      <c r="U144" s="209">
        <v>-5425098</v>
      </c>
      <c r="V144" s="294">
        <v>0</v>
      </c>
      <c r="W144" s="209">
        <v>-5425098</v>
      </c>
      <c r="X144" s="209"/>
      <c r="Y144" s="347"/>
      <c r="Z144" s="347"/>
      <c r="AA144" s="347"/>
      <c r="AB144" s="347"/>
    </row>
    <row r="145" spans="2:28" x14ac:dyDescent="0.3">
      <c r="B145" s="214">
        <v>81</v>
      </c>
      <c r="C145" s="207" t="str">
        <f>'Employer Allocations'!A129</f>
        <v>McLean County Schools</v>
      </c>
      <c r="D145" s="336">
        <v>0</v>
      </c>
      <c r="E145" s="336">
        <v>29340513</v>
      </c>
      <c r="F145" s="336">
        <v>29340513</v>
      </c>
      <c r="G145" s="336">
        <v>0</v>
      </c>
      <c r="H145" s="336">
        <v>0</v>
      </c>
      <c r="I145" s="336">
        <v>0</v>
      </c>
      <c r="J145" s="336">
        <v>0</v>
      </c>
      <c r="K145" s="336">
        <v>0</v>
      </c>
      <c r="L145" s="336"/>
      <c r="M145" s="336"/>
      <c r="N145" s="336">
        <v>0</v>
      </c>
      <c r="O145" s="336">
        <v>0</v>
      </c>
      <c r="P145" s="336">
        <v>0</v>
      </c>
      <c r="Q145" s="336">
        <v>0</v>
      </c>
      <c r="R145" s="336">
        <v>0</v>
      </c>
      <c r="S145" s="336">
        <v>0</v>
      </c>
      <c r="T145" s="336">
        <v>-3255584</v>
      </c>
      <c r="U145" s="336">
        <v>-3255584</v>
      </c>
      <c r="V145" s="336">
        <v>0</v>
      </c>
      <c r="W145" s="336">
        <v>-3255584</v>
      </c>
      <c r="X145" s="209"/>
      <c r="Y145" s="347"/>
      <c r="Z145" s="347"/>
      <c r="AA145" s="347"/>
      <c r="AB145" s="347"/>
    </row>
    <row r="146" spans="2:28" x14ac:dyDescent="0.3">
      <c r="B146" s="214">
        <v>82</v>
      </c>
      <c r="C146" s="207" t="str">
        <f>'Employer Allocations'!A130</f>
        <v>Meade County Schools</v>
      </c>
      <c r="D146" s="294">
        <v>0</v>
      </c>
      <c r="E146" s="209">
        <v>83984117</v>
      </c>
      <c r="F146" s="209">
        <v>83984117</v>
      </c>
      <c r="G146" s="294">
        <v>0</v>
      </c>
      <c r="H146" s="294">
        <v>0</v>
      </c>
      <c r="I146" s="294">
        <v>0</v>
      </c>
      <c r="J146" s="294">
        <v>0</v>
      </c>
      <c r="K146" s="294">
        <v>0</v>
      </c>
      <c r="L146" s="294"/>
      <c r="M146" s="294"/>
      <c r="N146" s="294">
        <v>0</v>
      </c>
      <c r="O146" s="294">
        <v>0</v>
      </c>
      <c r="P146" s="294">
        <v>0</v>
      </c>
      <c r="Q146" s="294">
        <v>0</v>
      </c>
      <c r="R146" s="294">
        <v>0</v>
      </c>
      <c r="S146" s="294">
        <v>0</v>
      </c>
      <c r="T146" s="209">
        <v>-9318766</v>
      </c>
      <c r="U146" s="209">
        <v>-9318766</v>
      </c>
      <c r="V146" s="294">
        <v>0</v>
      </c>
      <c r="W146" s="209">
        <v>-9318766</v>
      </c>
      <c r="X146" s="209"/>
      <c r="Y146" s="347"/>
      <c r="Z146" s="347"/>
      <c r="AA146" s="347"/>
      <c r="AB146" s="347"/>
    </row>
    <row r="147" spans="2:28" x14ac:dyDescent="0.3">
      <c r="B147" s="214">
        <v>83</v>
      </c>
      <c r="C147" s="207" t="str">
        <f>'Employer Allocations'!A131</f>
        <v>Menifee County Schools</v>
      </c>
      <c r="D147" s="294">
        <v>0</v>
      </c>
      <c r="E147" s="209">
        <v>19215139</v>
      </c>
      <c r="F147" s="209">
        <v>19215139</v>
      </c>
      <c r="G147" s="294">
        <v>0</v>
      </c>
      <c r="H147" s="294">
        <v>0</v>
      </c>
      <c r="I147" s="294">
        <v>0</v>
      </c>
      <c r="J147" s="294">
        <v>0</v>
      </c>
      <c r="K147" s="294">
        <v>0</v>
      </c>
      <c r="L147" s="294"/>
      <c r="M147" s="294"/>
      <c r="N147" s="294">
        <v>0</v>
      </c>
      <c r="O147" s="294">
        <v>0</v>
      </c>
      <c r="P147" s="294">
        <v>0</v>
      </c>
      <c r="Q147" s="294">
        <v>0</v>
      </c>
      <c r="R147" s="294">
        <v>0</v>
      </c>
      <c r="S147" s="294">
        <v>0</v>
      </c>
      <c r="T147" s="209">
        <v>-2132086</v>
      </c>
      <c r="U147" s="209">
        <v>-2132086</v>
      </c>
      <c r="V147" s="294">
        <v>0</v>
      </c>
      <c r="W147" s="209">
        <v>-2132086</v>
      </c>
      <c r="X147" s="209"/>
      <c r="Y147" s="347"/>
      <c r="Z147" s="347"/>
      <c r="AA147" s="347"/>
      <c r="AB147" s="347"/>
    </row>
    <row r="148" spans="2:28" x14ac:dyDescent="0.3">
      <c r="B148" s="214">
        <v>84</v>
      </c>
      <c r="C148" s="207" t="str">
        <f>'Employer Allocations'!A132</f>
        <v>Mercer County Schools</v>
      </c>
      <c r="D148" s="294">
        <v>0</v>
      </c>
      <c r="E148" s="209">
        <v>54999484</v>
      </c>
      <c r="F148" s="209">
        <v>54999484</v>
      </c>
      <c r="G148" s="294">
        <v>0</v>
      </c>
      <c r="H148" s="294">
        <v>0</v>
      </c>
      <c r="I148" s="294">
        <v>0</v>
      </c>
      <c r="J148" s="294">
        <v>0</v>
      </c>
      <c r="K148" s="294">
        <v>0</v>
      </c>
      <c r="L148" s="294"/>
      <c r="M148" s="294"/>
      <c r="N148" s="294">
        <v>0</v>
      </c>
      <c r="O148" s="294">
        <v>0</v>
      </c>
      <c r="P148" s="294">
        <v>0</v>
      </c>
      <c r="Q148" s="294">
        <v>0</v>
      </c>
      <c r="R148" s="294">
        <v>0</v>
      </c>
      <c r="S148" s="294">
        <v>0</v>
      </c>
      <c r="T148" s="209">
        <v>-6102669</v>
      </c>
      <c r="U148" s="209">
        <v>-6102669</v>
      </c>
      <c r="V148" s="294">
        <v>0</v>
      </c>
      <c r="W148" s="209">
        <v>-6102669</v>
      </c>
      <c r="X148" s="209"/>
      <c r="Y148" s="347"/>
      <c r="Z148" s="347"/>
      <c r="AA148" s="347"/>
      <c r="AB148" s="347"/>
    </row>
    <row r="149" spans="2:28" x14ac:dyDescent="0.3">
      <c r="B149" s="214">
        <v>85</v>
      </c>
      <c r="C149" s="207" t="str">
        <f>'Employer Allocations'!A133</f>
        <v>Metcalf County Schools</v>
      </c>
      <c r="D149" s="294">
        <v>0</v>
      </c>
      <c r="E149" s="209">
        <v>23500728</v>
      </c>
      <c r="F149" s="209">
        <v>23500728</v>
      </c>
      <c r="G149" s="294">
        <v>0</v>
      </c>
      <c r="H149" s="294">
        <v>0</v>
      </c>
      <c r="I149" s="294">
        <v>0</v>
      </c>
      <c r="J149" s="294">
        <v>0</v>
      </c>
      <c r="K149" s="294">
        <v>0</v>
      </c>
      <c r="L149" s="294"/>
      <c r="M149" s="294"/>
      <c r="N149" s="294">
        <v>0</v>
      </c>
      <c r="O149" s="294">
        <v>0</v>
      </c>
      <c r="P149" s="294">
        <v>0</v>
      </c>
      <c r="Q149" s="294">
        <v>0</v>
      </c>
      <c r="R149" s="294">
        <v>0</v>
      </c>
      <c r="S149" s="294">
        <v>0</v>
      </c>
      <c r="T149" s="209">
        <v>-2607609</v>
      </c>
      <c r="U149" s="209">
        <v>-2607609</v>
      </c>
      <c r="V149" s="294">
        <v>0</v>
      </c>
      <c r="W149" s="209">
        <v>-2607609</v>
      </c>
      <c r="X149" s="209"/>
      <c r="Y149" s="347"/>
      <c r="Z149" s="347"/>
      <c r="AA149" s="347"/>
      <c r="AB149" s="347"/>
    </row>
    <row r="150" spans="2:28" x14ac:dyDescent="0.3">
      <c r="B150" s="214">
        <v>86</v>
      </c>
      <c r="C150" s="207" t="str">
        <f>'Employer Allocations'!A134</f>
        <v>Monroe County Schools</v>
      </c>
      <c r="D150" s="294">
        <v>0</v>
      </c>
      <c r="E150" s="209">
        <v>34572425</v>
      </c>
      <c r="F150" s="209">
        <v>34572425</v>
      </c>
      <c r="G150" s="294">
        <v>0</v>
      </c>
      <c r="H150" s="294">
        <v>0</v>
      </c>
      <c r="I150" s="294">
        <v>0</v>
      </c>
      <c r="J150" s="294">
        <v>0</v>
      </c>
      <c r="K150" s="294">
        <v>0</v>
      </c>
      <c r="L150" s="294"/>
      <c r="M150" s="294"/>
      <c r="N150" s="294">
        <v>0</v>
      </c>
      <c r="O150" s="294">
        <v>0</v>
      </c>
      <c r="P150" s="294">
        <v>0</v>
      </c>
      <c r="Q150" s="294">
        <v>0</v>
      </c>
      <c r="R150" s="294">
        <v>0</v>
      </c>
      <c r="S150" s="294">
        <v>0</v>
      </c>
      <c r="T150" s="209">
        <v>-3836110</v>
      </c>
      <c r="U150" s="209">
        <v>-3836110</v>
      </c>
      <c r="V150" s="294">
        <v>0</v>
      </c>
      <c r="W150" s="209">
        <v>-3836110</v>
      </c>
      <c r="X150" s="209"/>
      <c r="Y150" s="347"/>
      <c r="Z150" s="347"/>
      <c r="AA150" s="347"/>
      <c r="AB150" s="347"/>
    </row>
    <row r="151" spans="2:28" x14ac:dyDescent="0.3">
      <c r="B151" s="214">
        <v>87</v>
      </c>
      <c r="C151" s="207" t="str">
        <f>'Employer Allocations'!A135</f>
        <v>Montgomery County Schools</v>
      </c>
      <c r="D151" s="294">
        <v>0</v>
      </c>
      <c r="E151" s="209">
        <v>79068544</v>
      </c>
      <c r="F151" s="209">
        <v>79068544</v>
      </c>
      <c r="G151" s="294">
        <v>0</v>
      </c>
      <c r="H151" s="294">
        <v>0</v>
      </c>
      <c r="I151" s="294">
        <v>0</v>
      </c>
      <c r="J151" s="294">
        <v>0</v>
      </c>
      <c r="K151" s="294">
        <v>0</v>
      </c>
      <c r="L151" s="294"/>
      <c r="M151" s="294"/>
      <c r="N151" s="294">
        <v>0</v>
      </c>
      <c r="O151" s="294">
        <v>0</v>
      </c>
      <c r="P151" s="294">
        <v>0</v>
      </c>
      <c r="Q151" s="294">
        <v>0</v>
      </c>
      <c r="R151" s="294">
        <v>0</v>
      </c>
      <c r="S151" s="294">
        <v>0</v>
      </c>
      <c r="T151" s="209">
        <v>-8773340</v>
      </c>
      <c r="U151" s="209">
        <v>-8773340</v>
      </c>
      <c r="V151" s="294">
        <v>0</v>
      </c>
      <c r="W151" s="209">
        <v>-8773340</v>
      </c>
      <c r="X151" s="209"/>
      <c r="Y151" s="347"/>
      <c r="Z151" s="347"/>
      <c r="AA151" s="347"/>
      <c r="AB151" s="347"/>
    </row>
    <row r="152" spans="2:28" x14ac:dyDescent="0.3">
      <c r="B152" s="214">
        <v>88</v>
      </c>
      <c r="C152" s="207" t="str">
        <f>'Employer Allocations'!A136</f>
        <v>Morgan County Schools</v>
      </c>
      <c r="D152" s="294">
        <v>0</v>
      </c>
      <c r="E152" s="209">
        <v>33608103</v>
      </c>
      <c r="F152" s="209">
        <v>33608103</v>
      </c>
      <c r="G152" s="294">
        <v>0</v>
      </c>
      <c r="H152" s="294">
        <v>0</v>
      </c>
      <c r="I152" s="294">
        <v>0</v>
      </c>
      <c r="J152" s="294">
        <v>0</v>
      </c>
      <c r="K152" s="294">
        <v>0</v>
      </c>
      <c r="L152" s="294"/>
      <c r="M152" s="294"/>
      <c r="N152" s="294">
        <v>0</v>
      </c>
      <c r="O152" s="294">
        <v>0</v>
      </c>
      <c r="P152" s="294">
        <v>0</v>
      </c>
      <c r="Q152" s="294">
        <v>0</v>
      </c>
      <c r="R152" s="294">
        <v>0</v>
      </c>
      <c r="S152" s="294">
        <v>0</v>
      </c>
      <c r="T152" s="209">
        <v>-3729110</v>
      </c>
      <c r="U152" s="209">
        <v>-3729110</v>
      </c>
      <c r="V152" s="294">
        <v>0</v>
      </c>
      <c r="W152" s="209">
        <v>-3729110</v>
      </c>
      <c r="X152" s="209"/>
      <c r="Y152" s="347"/>
      <c r="Z152" s="347"/>
      <c r="AA152" s="347"/>
      <c r="AB152" s="347"/>
    </row>
    <row r="153" spans="2:28" x14ac:dyDescent="0.3">
      <c r="B153" s="214">
        <v>89</v>
      </c>
      <c r="C153" s="207" t="str">
        <f>'Employer Allocations'!A137</f>
        <v>Muhlenberg County Schools</v>
      </c>
      <c r="D153" s="294">
        <v>0</v>
      </c>
      <c r="E153" s="209">
        <v>87036809</v>
      </c>
      <c r="F153" s="209">
        <v>87036809</v>
      </c>
      <c r="G153" s="294">
        <v>0</v>
      </c>
      <c r="H153" s="294">
        <v>0</v>
      </c>
      <c r="I153" s="294">
        <v>0</v>
      </c>
      <c r="J153" s="294">
        <v>0</v>
      </c>
      <c r="K153" s="294">
        <v>0</v>
      </c>
      <c r="L153" s="294"/>
      <c r="M153" s="294"/>
      <c r="N153" s="294">
        <v>0</v>
      </c>
      <c r="O153" s="294">
        <v>0</v>
      </c>
      <c r="P153" s="294">
        <v>0</v>
      </c>
      <c r="Q153" s="294">
        <v>0</v>
      </c>
      <c r="R153" s="294">
        <v>0</v>
      </c>
      <c r="S153" s="294">
        <v>0</v>
      </c>
      <c r="T153" s="209">
        <v>-9657488</v>
      </c>
      <c r="U153" s="209">
        <v>-9657488</v>
      </c>
      <c r="V153" s="294">
        <v>0</v>
      </c>
      <c r="W153" s="209">
        <v>-9657488</v>
      </c>
      <c r="X153" s="209"/>
      <c r="Y153" s="347"/>
      <c r="Z153" s="347"/>
      <c r="AA153" s="347"/>
      <c r="AB153" s="347"/>
    </row>
    <row r="154" spans="2:28" x14ac:dyDescent="0.3">
      <c r="B154" s="214">
        <v>90</v>
      </c>
      <c r="C154" s="207" t="str">
        <f>'Employer Allocations'!A138</f>
        <v>Nelson County Schools</v>
      </c>
      <c r="D154" s="294">
        <v>0</v>
      </c>
      <c r="E154" s="209">
        <v>89167132</v>
      </c>
      <c r="F154" s="209">
        <v>89167132</v>
      </c>
      <c r="G154" s="294">
        <v>0</v>
      </c>
      <c r="H154" s="294">
        <v>0</v>
      </c>
      <c r="I154" s="294">
        <v>0</v>
      </c>
      <c r="J154" s="294">
        <v>0</v>
      </c>
      <c r="K154" s="294">
        <v>0</v>
      </c>
      <c r="L154" s="294"/>
      <c r="M154" s="294"/>
      <c r="N154" s="294">
        <v>0</v>
      </c>
      <c r="O154" s="294">
        <v>0</v>
      </c>
      <c r="P154" s="294">
        <v>0</v>
      </c>
      <c r="Q154" s="294">
        <v>0</v>
      </c>
      <c r="R154" s="294">
        <v>0</v>
      </c>
      <c r="S154" s="294">
        <v>0</v>
      </c>
      <c r="T154" s="209">
        <v>-9893866</v>
      </c>
      <c r="U154" s="209">
        <v>-9893866</v>
      </c>
      <c r="V154" s="294">
        <v>0</v>
      </c>
      <c r="W154" s="209">
        <v>-9893866</v>
      </c>
      <c r="X154" s="209"/>
      <c r="Y154" s="347"/>
      <c r="Z154" s="347"/>
      <c r="AA154" s="347"/>
      <c r="AB154" s="347"/>
    </row>
    <row r="155" spans="2:28" x14ac:dyDescent="0.3">
      <c r="B155" s="214">
        <v>91</v>
      </c>
      <c r="C155" s="207" t="str">
        <f>'Employer Allocations'!A139</f>
        <v>Nicholas County Schools</v>
      </c>
      <c r="D155" s="294">
        <v>0</v>
      </c>
      <c r="E155" s="209">
        <v>16737156</v>
      </c>
      <c r="F155" s="209">
        <v>16737156</v>
      </c>
      <c r="G155" s="294">
        <v>0</v>
      </c>
      <c r="H155" s="294">
        <v>0</v>
      </c>
      <c r="I155" s="294">
        <v>0</v>
      </c>
      <c r="J155" s="294">
        <v>0</v>
      </c>
      <c r="K155" s="294">
        <v>0</v>
      </c>
      <c r="L155" s="294"/>
      <c r="M155" s="294"/>
      <c r="N155" s="294">
        <v>0</v>
      </c>
      <c r="O155" s="294">
        <v>0</v>
      </c>
      <c r="P155" s="294">
        <v>0</v>
      </c>
      <c r="Q155" s="294">
        <v>0</v>
      </c>
      <c r="R155" s="294">
        <v>0</v>
      </c>
      <c r="S155" s="294">
        <v>0</v>
      </c>
      <c r="T155" s="209">
        <v>-1857132</v>
      </c>
      <c r="U155" s="209">
        <v>-1857132</v>
      </c>
      <c r="V155" s="294">
        <v>0</v>
      </c>
      <c r="W155" s="209">
        <v>-1857132</v>
      </c>
      <c r="X155" s="209"/>
      <c r="Y155" s="347"/>
      <c r="Z155" s="347"/>
      <c r="AA155" s="347"/>
      <c r="AB155" s="347"/>
    </row>
    <row r="156" spans="2:28" x14ac:dyDescent="0.3">
      <c r="B156" s="214">
        <v>92</v>
      </c>
      <c r="C156" s="207" t="str">
        <f>'Employer Allocations'!A140</f>
        <v>Ohio County Schools</v>
      </c>
      <c r="D156" s="294">
        <v>0</v>
      </c>
      <c r="E156" s="209">
        <v>69655781</v>
      </c>
      <c r="F156" s="209">
        <v>69655781</v>
      </c>
      <c r="G156" s="294">
        <v>0</v>
      </c>
      <c r="H156" s="294">
        <v>0</v>
      </c>
      <c r="I156" s="294">
        <v>0</v>
      </c>
      <c r="J156" s="294">
        <v>0</v>
      </c>
      <c r="K156" s="294">
        <v>0</v>
      </c>
      <c r="L156" s="294"/>
      <c r="M156" s="294"/>
      <c r="N156" s="294">
        <v>0</v>
      </c>
      <c r="O156" s="294">
        <v>0</v>
      </c>
      <c r="P156" s="294">
        <v>0</v>
      </c>
      <c r="Q156" s="294">
        <v>0</v>
      </c>
      <c r="R156" s="294">
        <v>0</v>
      </c>
      <c r="S156" s="294">
        <v>0</v>
      </c>
      <c r="T156" s="209">
        <v>-7728913</v>
      </c>
      <c r="U156" s="209">
        <v>-7728913</v>
      </c>
      <c r="V156" s="294">
        <v>0</v>
      </c>
      <c r="W156" s="209">
        <v>-7728913</v>
      </c>
      <c r="X156" s="209"/>
      <c r="Y156" s="347"/>
      <c r="Z156" s="347"/>
      <c r="AA156" s="347"/>
      <c r="AB156" s="347"/>
    </row>
    <row r="157" spans="2:28" x14ac:dyDescent="0.3">
      <c r="B157" s="214">
        <v>93</v>
      </c>
      <c r="C157" s="207" t="str">
        <f>'Employer Allocations'!A141</f>
        <v>Oldham County Schools</v>
      </c>
      <c r="D157" s="294">
        <v>0</v>
      </c>
      <c r="E157" s="209">
        <v>258779560</v>
      </c>
      <c r="F157" s="209">
        <v>258779560</v>
      </c>
      <c r="G157" s="294">
        <v>0</v>
      </c>
      <c r="H157" s="294">
        <v>0</v>
      </c>
      <c r="I157" s="294">
        <v>0</v>
      </c>
      <c r="J157" s="294">
        <v>0</v>
      </c>
      <c r="K157" s="294">
        <v>0</v>
      </c>
      <c r="L157" s="294"/>
      <c r="M157" s="294"/>
      <c r="N157" s="294">
        <v>0</v>
      </c>
      <c r="O157" s="294">
        <v>0</v>
      </c>
      <c r="P157" s="294">
        <v>0</v>
      </c>
      <c r="Q157" s="294">
        <v>0</v>
      </c>
      <c r="R157" s="294">
        <v>0</v>
      </c>
      <c r="S157" s="294">
        <v>0</v>
      </c>
      <c r="T157" s="209">
        <v>-28713835</v>
      </c>
      <c r="U157" s="209">
        <v>-28713835</v>
      </c>
      <c r="V157" s="294">
        <v>0</v>
      </c>
      <c r="W157" s="209">
        <v>-28713835</v>
      </c>
      <c r="X157" s="209"/>
      <c r="Y157" s="347"/>
      <c r="Z157" s="347"/>
      <c r="AA157" s="347"/>
      <c r="AB157" s="347"/>
    </row>
    <row r="158" spans="2:28" x14ac:dyDescent="0.3">
      <c r="B158" s="214">
        <v>94</v>
      </c>
      <c r="C158" s="207" t="str">
        <f>'Employer Allocations'!A142</f>
        <v>Owen County Schools</v>
      </c>
      <c r="D158" s="294">
        <v>0</v>
      </c>
      <c r="E158" s="209">
        <v>30455350</v>
      </c>
      <c r="F158" s="209">
        <v>30455350</v>
      </c>
      <c r="G158" s="294">
        <v>0</v>
      </c>
      <c r="H158" s="294">
        <v>0</v>
      </c>
      <c r="I158" s="294">
        <v>0</v>
      </c>
      <c r="J158" s="294">
        <v>0</v>
      </c>
      <c r="K158" s="294">
        <v>0</v>
      </c>
      <c r="L158" s="294"/>
      <c r="M158" s="294"/>
      <c r="N158" s="294">
        <v>0</v>
      </c>
      <c r="O158" s="294">
        <v>0</v>
      </c>
      <c r="P158" s="294">
        <v>0</v>
      </c>
      <c r="Q158" s="294">
        <v>0</v>
      </c>
      <c r="R158" s="294">
        <v>0</v>
      </c>
      <c r="S158" s="294">
        <v>0</v>
      </c>
      <c r="T158" s="209">
        <v>-3379285</v>
      </c>
      <c r="U158" s="209">
        <v>-3379285</v>
      </c>
      <c r="V158" s="294">
        <v>0</v>
      </c>
      <c r="W158" s="209">
        <v>-3379285</v>
      </c>
      <c r="X158" s="209"/>
      <c r="Y158" s="347"/>
      <c r="Z158" s="347"/>
      <c r="AA158" s="347"/>
      <c r="AB158" s="347"/>
    </row>
    <row r="159" spans="2:28" x14ac:dyDescent="0.3">
      <c r="B159" s="214">
        <v>95</v>
      </c>
      <c r="C159" s="207" t="str">
        <f>'Employer Allocations'!A143</f>
        <v>Owsley County Schools</v>
      </c>
      <c r="D159" s="294">
        <v>0</v>
      </c>
      <c r="E159" s="209">
        <v>11985279</v>
      </c>
      <c r="F159" s="209">
        <v>11985279</v>
      </c>
      <c r="G159" s="294">
        <v>0</v>
      </c>
      <c r="H159" s="294">
        <v>0</v>
      </c>
      <c r="I159" s="294">
        <v>0</v>
      </c>
      <c r="J159" s="294">
        <v>0</v>
      </c>
      <c r="K159" s="294">
        <v>0</v>
      </c>
      <c r="L159" s="294"/>
      <c r="M159" s="294"/>
      <c r="N159" s="294">
        <v>0</v>
      </c>
      <c r="O159" s="294">
        <v>0</v>
      </c>
      <c r="P159" s="294">
        <v>0</v>
      </c>
      <c r="Q159" s="294">
        <v>0</v>
      </c>
      <c r="R159" s="294">
        <v>0</v>
      </c>
      <c r="S159" s="294">
        <v>0</v>
      </c>
      <c r="T159" s="209">
        <v>-1329871</v>
      </c>
      <c r="U159" s="209">
        <v>-1329871</v>
      </c>
      <c r="V159" s="294">
        <v>0</v>
      </c>
      <c r="W159" s="209">
        <v>-1329871</v>
      </c>
      <c r="X159" s="209"/>
      <c r="Y159" s="347"/>
      <c r="Z159" s="347"/>
      <c r="AA159" s="347"/>
      <c r="AB159" s="347"/>
    </row>
    <row r="160" spans="2:28" x14ac:dyDescent="0.3">
      <c r="B160" s="214">
        <v>96</v>
      </c>
      <c r="C160" s="207" t="str">
        <f>'Employer Allocations'!A144</f>
        <v>Pendleton County Schools</v>
      </c>
      <c r="D160" s="294">
        <v>0</v>
      </c>
      <c r="E160" s="209">
        <v>38123151</v>
      </c>
      <c r="F160" s="209">
        <v>38123151</v>
      </c>
      <c r="G160" s="294">
        <v>0</v>
      </c>
      <c r="H160" s="294">
        <v>0</v>
      </c>
      <c r="I160" s="294">
        <v>0</v>
      </c>
      <c r="J160" s="294">
        <v>0</v>
      </c>
      <c r="K160" s="294">
        <v>0</v>
      </c>
      <c r="L160" s="294"/>
      <c r="M160" s="294"/>
      <c r="N160" s="294">
        <v>0</v>
      </c>
      <c r="O160" s="294">
        <v>0</v>
      </c>
      <c r="P160" s="294">
        <v>0</v>
      </c>
      <c r="Q160" s="294">
        <v>0</v>
      </c>
      <c r="R160" s="294">
        <v>0</v>
      </c>
      <c r="S160" s="294">
        <v>0</v>
      </c>
      <c r="T160" s="209">
        <v>-4230094</v>
      </c>
      <c r="U160" s="209">
        <v>-4230094</v>
      </c>
      <c r="V160" s="294">
        <v>0</v>
      </c>
      <c r="W160" s="209">
        <v>-4230094</v>
      </c>
      <c r="X160" s="209"/>
      <c r="Y160" s="347"/>
      <c r="Z160" s="347"/>
      <c r="AA160" s="347"/>
      <c r="AB160" s="347"/>
    </row>
    <row r="161" spans="2:28" x14ac:dyDescent="0.3">
      <c r="B161" s="214">
        <v>97</v>
      </c>
      <c r="C161" s="207" t="str">
        <f>'Employer Allocations'!A145</f>
        <v>Perry County Schools</v>
      </c>
      <c r="D161" s="294">
        <v>0</v>
      </c>
      <c r="E161" s="209">
        <v>65863407</v>
      </c>
      <c r="F161" s="209">
        <v>65863407</v>
      </c>
      <c r="G161" s="294">
        <v>0</v>
      </c>
      <c r="H161" s="294">
        <v>0</v>
      </c>
      <c r="I161" s="294">
        <v>0</v>
      </c>
      <c r="J161" s="294">
        <v>0</v>
      </c>
      <c r="K161" s="294">
        <v>0</v>
      </c>
      <c r="L161" s="294"/>
      <c r="M161" s="294"/>
      <c r="N161" s="294">
        <v>0</v>
      </c>
      <c r="O161" s="294">
        <v>0</v>
      </c>
      <c r="P161" s="294">
        <v>0</v>
      </c>
      <c r="Q161" s="294">
        <v>0</v>
      </c>
      <c r="R161" s="294">
        <v>0</v>
      </c>
      <c r="S161" s="294">
        <v>0</v>
      </c>
      <c r="T161" s="209">
        <v>-7308116</v>
      </c>
      <c r="U161" s="209">
        <v>-7308116</v>
      </c>
      <c r="V161" s="294">
        <v>0</v>
      </c>
      <c r="W161" s="209">
        <v>-7308116</v>
      </c>
      <c r="X161" s="209"/>
      <c r="Y161" s="347"/>
      <c r="Z161" s="347"/>
      <c r="AA161" s="347"/>
      <c r="AB161" s="347"/>
    </row>
    <row r="162" spans="2:28" x14ac:dyDescent="0.3">
      <c r="B162" s="214">
        <v>98</v>
      </c>
      <c r="C162" s="207" t="str">
        <f>'Employer Allocations'!A146</f>
        <v>Pike County Schools</v>
      </c>
      <c r="D162" s="294">
        <v>0</v>
      </c>
      <c r="E162" s="209">
        <v>145422332</v>
      </c>
      <c r="F162" s="209">
        <v>145422332</v>
      </c>
      <c r="G162" s="294">
        <v>0</v>
      </c>
      <c r="H162" s="294">
        <v>0</v>
      </c>
      <c r="I162" s="294">
        <v>0</v>
      </c>
      <c r="J162" s="294">
        <v>0</v>
      </c>
      <c r="K162" s="294">
        <v>0</v>
      </c>
      <c r="L162" s="294"/>
      <c r="M162" s="294"/>
      <c r="N162" s="294">
        <v>0</v>
      </c>
      <c r="O162" s="294">
        <v>0</v>
      </c>
      <c r="P162" s="294">
        <v>0</v>
      </c>
      <c r="Q162" s="294">
        <v>0</v>
      </c>
      <c r="R162" s="294">
        <v>0</v>
      </c>
      <c r="S162" s="294">
        <v>0</v>
      </c>
      <c r="T162" s="209">
        <v>-16135868</v>
      </c>
      <c r="U162" s="209">
        <v>-16135868</v>
      </c>
      <c r="V162" s="294">
        <v>0</v>
      </c>
      <c r="W162" s="209">
        <v>-16135868</v>
      </c>
      <c r="X162" s="209"/>
      <c r="Y162" s="347"/>
      <c r="Z162" s="347"/>
      <c r="AA162" s="347"/>
      <c r="AB162" s="347"/>
    </row>
    <row r="163" spans="2:28" x14ac:dyDescent="0.3">
      <c r="B163" s="214">
        <v>99</v>
      </c>
      <c r="C163" s="207" t="str">
        <f>'Employer Allocations'!A147</f>
        <v>Powell County Schools</v>
      </c>
      <c r="D163" s="294">
        <v>0</v>
      </c>
      <c r="E163" s="209">
        <v>38480449</v>
      </c>
      <c r="F163" s="209">
        <v>38480449</v>
      </c>
      <c r="G163" s="294">
        <v>0</v>
      </c>
      <c r="H163" s="294">
        <v>0</v>
      </c>
      <c r="I163" s="294">
        <v>0</v>
      </c>
      <c r="J163" s="294">
        <v>0</v>
      </c>
      <c r="K163" s="294">
        <v>0</v>
      </c>
      <c r="L163" s="294"/>
      <c r="M163" s="294"/>
      <c r="N163" s="294">
        <v>0</v>
      </c>
      <c r="O163" s="294">
        <v>0</v>
      </c>
      <c r="P163" s="294">
        <v>0</v>
      </c>
      <c r="Q163" s="294">
        <v>0</v>
      </c>
      <c r="R163" s="294">
        <v>0</v>
      </c>
      <c r="S163" s="294">
        <v>0</v>
      </c>
      <c r="T163" s="209">
        <v>-4269739</v>
      </c>
      <c r="U163" s="209">
        <v>-4269739</v>
      </c>
      <c r="V163" s="294">
        <v>0</v>
      </c>
      <c r="W163" s="209">
        <v>-4269739</v>
      </c>
      <c r="X163" s="209"/>
      <c r="Y163" s="347"/>
      <c r="Z163" s="347"/>
      <c r="AA163" s="347"/>
      <c r="AB163" s="347"/>
    </row>
    <row r="164" spans="2:28" x14ac:dyDescent="0.3">
      <c r="B164" s="214">
        <v>100</v>
      </c>
      <c r="C164" s="207" t="str">
        <f>'Employer Allocations'!A148</f>
        <v>Pulaski County Schools</v>
      </c>
      <c r="D164" s="294">
        <v>0</v>
      </c>
      <c r="E164" s="209">
        <v>139687284</v>
      </c>
      <c r="F164" s="209">
        <v>139687284</v>
      </c>
      <c r="G164" s="294">
        <v>0</v>
      </c>
      <c r="H164" s="294">
        <v>0</v>
      </c>
      <c r="I164" s="294">
        <v>0</v>
      </c>
      <c r="J164" s="294">
        <v>0</v>
      </c>
      <c r="K164" s="294">
        <v>0</v>
      </c>
      <c r="L164" s="294"/>
      <c r="M164" s="294"/>
      <c r="N164" s="294">
        <v>0</v>
      </c>
      <c r="O164" s="294">
        <v>0</v>
      </c>
      <c r="P164" s="294">
        <v>0</v>
      </c>
      <c r="Q164" s="294">
        <v>0</v>
      </c>
      <c r="R164" s="294">
        <v>0</v>
      </c>
      <c r="S164" s="294">
        <v>0</v>
      </c>
      <c r="T164" s="209">
        <v>-15499515</v>
      </c>
      <c r="U164" s="209">
        <v>-15499515</v>
      </c>
      <c r="V164" s="294">
        <v>0</v>
      </c>
      <c r="W164" s="209">
        <v>-15499515</v>
      </c>
      <c r="X164" s="209"/>
      <c r="Y164" s="347"/>
      <c r="Z164" s="347"/>
      <c r="AA164" s="347"/>
      <c r="AB164" s="347"/>
    </row>
    <row r="165" spans="2:28" x14ac:dyDescent="0.3">
      <c r="B165" s="214">
        <v>101</v>
      </c>
      <c r="C165" s="207" t="str">
        <f>'Employer Allocations'!A149</f>
        <v>Robertson County Schools</v>
      </c>
      <c r="D165" s="294">
        <v>0</v>
      </c>
      <c r="E165" s="209">
        <v>7200238</v>
      </c>
      <c r="F165" s="209">
        <v>7200238</v>
      </c>
      <c r="G165" s="294">
        <v>0</v>
      </c>
      <c r="H165" s="294">
        <v>0</v>
      </c>
      <c r="I165" s="294">
        <v>0</v>
      </c>
      <c r="J165" s="294">
        <v>0</v>
      </c>
      <c r="K165" s="294">
        <v>0</v>
      </c>
      <c r="L165" s="294"/>
      <c r="M165" s="294"/>
      <c r="N165" s="294">
        <v>0</v>
      </c>
      <c r="O165" s="294">
        <v>0</v>
      </c>
      <c r="P165" s="294">
        <v>0</v>
      </c>
      <c r="Q165" s="294">
        <v>0</v>
      </c>
      <c r="R165" s="294">
        <v>0</v>
      </c>
      <c r="S165" s="294">
        <v>0</v>
      </c>
      <c r="T165" s="209">
        <v>-798929</v>
      </c>
      <c r="U165" s="209">
        <v>-798929</v>
      </c>
      <c r="V165" s="294">
        <v>0</v>
      </c>
      <c r="W165" s="209">
        <v>-798929</v>
      </c>
      <c r="X165" s="209"/>
      <c r="Y165" s="347"/>
      <c r="Z165" s="347"/>
      <c r="AA165" s="347"/>
      <c r="AB165" s="347"/>
    </row>
    <row r="166" spans="2:28" x14ac:dyDescent="0.3">
      <c r="B166" s="214">
        <v>102</v>
      </c>
      <c r="C166" s="207" t="str">
        <f>'Employer Allocations'!A150</f>
        <v>Rockcastle County Schools</v>
      </c>
      <c r="D166" s="294">
        <v>0</v>
      </c>
      <c r="E166" s="209">
        <v>52971915</v>
      </c>
      <c r="F166" s="209">
        <v>52971915</v>
      </c>
      <c r="G166" s="294">
        <v>0</v>
      </c>
      <c r="H166" s="294">
        <v>0</v>
      </c>
      <c r="I166" s="294">
        <v>0</v>
      </c>
      <c r="J166" s="294">
        <v>0</v>
      </c>
      <c r="K166" s="294">
        <v>0</v>
      </c>
      <c r="L166" s="294"/>
      <c r="M166" s="294"/>
      <c r="N166" s="294">
        <v>0</v>
      </c>
      <c r="O166" s="294">
        <v>0</v>
      </c>
      <c r="P166" s="294">
        <v>0</v>
      </c>
      <c r="Q166" s="294">
        <v>0</v>
      </c>
      <c r="R166" s="294">
        <v>0</v>
      </c>
      <c r="S166" s="294">
        <v>0</v>
      </c>
      <c r="T166" s="209">
        <v>-5877693</v>
      </c>
      <c r="U166" s="209">
        <v>-5877693</v>
      </c>
      <c r="V166" s="294">
        <v>0</v>
      </c>
      <c r="W166" s="209">
        <v>-5877693</v>
      </c>
      <c r="X166" s="209"/>
      <c r="Y166" s="347"/>
      <c r="Z166" s="347"/>
      <c r="AA166" s="347"/>
      <c r="AB166" s="347"/>
    </row>
    <row r="167" spans="2:28" x14ac:dyDescent="0.3">
      <c r="B167" s="214">
        <v>103</v>
      </c>
      <c r="C167" s="207" t="str">
        <f>'Employer Allocations'!A151</f>
        <v>Rowan County Schools</v>
      </c>
      <c r="D167" s="294">
        <v>0</v>
      </c>
      <c r="E167" s="209">
        <v>54589889</v>
      </c>
      <c r="F167" s="209">
        <v>54589889</v>
      </c>
      <c r="G167" s="294">
        <v>0</v>
      </c>
      <c r="H167" s="294">
        <v>0</v>
      </c>
      <c r="I167" s="294">
        <v>0</v>
      </c>
      <c r="J167" s="294">
        <v>0</v>
      </c>
      <c r="K167" s="294">
        <v>0</v>
      </c>
      <c r="L167" s="294"/>
      <c r="M167" s="294"/>
      <c r="N167" s="294">
        <v>0</v>
      </c>
      <c r="O167" s="294">
        <v>0</v>
      </c>
      <c r="P167" s="294">
        <v>0</v>
      </c>
      <c r="Q167" s="294">
        <v>0</v>
      </c>
      <c r="R167" s="294">
        <v>0</v>
      </c>
      <c r="S167" s="294">
        <v>0</v>
      </c>
      <c r="T167" s="209">
        <v>-6057221</v>
      </c>
      <c r="U167" s="209">
        <v>-6057221</v>
      </c>
      <c r="V167" s="294">
        <v>0</v>
      </c>
      <c r="W167" s="209">
        <v>-6057221</v>
      </c>
      <c r="X167" s="209"/>
      <c r="Y167" s="347"/>
      <c r="Z167" s="347"/>
      <c r="AA167" s="347"/>
      <c r="AB167" s="347"/>
    </row>
    <row r="168" spans="2:28" x14ac:dyDescent="0.3">
      <c r="B168" s="214">
        <v>104</v>
      </c>
      <c r="C168" s="207" t="str">
        <f>'Employer Allocations'!A152</f>
        <v>Russell County Schools</v>
      </c>
      <c r="D168" s="294">
        <v>0</v>
      </c>
      <c r="E168" s="209">
        <v>50961920</v>
      </c>
      <c r="F168" s="209">
        <v>50961920</v>
      </c>
      <c r="G168" s="294">
        <v>0</v>
      </c>
      <c r="H168" s="294">
        <v>0</v>
      </c>
      <c r="I168" s="294">
        <v>0</v>
      </c>
      <c r="J168" s="294">
        <v>0</v>
      </c>
      <c r="K168" s="294">
        <v>0</v>
      </c>
      <c r="L168" s="294"/>
      <c r="M168" s="294"/>
      <c r="N168" s="294">
        <v>0</v>
      </c>
      <c r="O168" s="294">
        <v>0</v>
      </c>
      <c r="P168" s="294">
        <v>0</v>
      </c>
      <c r="Q168" s="294">
        <v>0</v>
      </c>
      <c r="R168" s="294">
        <v>0</v>
      </c>
      <c r="S168" s="294">
        <v>0</v>
      </c>
      <c r="T168" s="209">
        <v>-5654667</v>
      </c>
      <c r="U168" s="209">
        <v>-5654667</v>
      </c>
      <c r="V168" s="294">
        <v>0</v>
      </c>
      <c r="W168" s="209">
        <v>-5654667</v>
      </c>
      <c r="X168" s="209"/>
      <c r="Y168" s="347"/>
      <c r="Z168" s="347"/>
      <c r="AA168" s="347"/>
      <c r="AB168" s="347"/>
    </row>
    <row r="169" spans="2:28" x14ac:dyDescent="0.3">
      <c r="B169" s="214">
        <v>105</v>
      </c>
      <c r="C169" s="207" t="str">
        <f>'Employer Allocations'!A153</f>
        <v>Scott County Schools</v>
      </c>
      <c r="D169" s="294">
        <v>0</v>
      </c>
      <c r="E169" s="209">
        <v>180690077</v>
      </c>
      <c r="F169" s="209">
        <v>180690077</v>
      </c>
      <c r="G169" s="294">
        <v>0</v>
      </c>
      <c r="H169" s="294">
        <v>0</v>
      </c>
      <c r="I169" s="294">
        <v>0</v>
      </c>
      <c r="J169" s="294">
        <v>0</v>
      </c>
      <c r="K169" s="294">
        <v>0</v>
      </c>
      <c r="L169" s="294"/>
      <c r="M169" s="294"/>
      <c r="N169" s="294">
        <v>0</v>
      </c>
      <c r="O169" s="294">
        <v>0</v>
      </c>
      <c r="P169" s="294">
        <v>0</v>
      </c>
      <c r="Q169" s="294">
        <v>0</v>
      </c>
      <c r="R169" s="294">
        <v>0</v>
      </c>
      <c r="S169" s="294">
        <v>0</v>
      </c>
      <c r="T169" s="209">
        <v>-20049130</v>
      </c>
      <c r="U169" s="209">
        <v>-20049130</v>
      </c>
      <c r="V169" s="294">
        <v>0</v>
      </c>
      <c r="W169" s="209">
        <v>-20049130</v>
      </c>
      <c r="X169" s="209"/>
      <c r="Y169" s="347"/>
      <c r="Z169" s="347"/>
      <c r="AA169" s="347"/>
      <c r="AB169" s="347"/>
    </row>
    <row r="170" spans="2:28" x14ac:dyDescent="0.3">
      <c r="B170" s="214">
        <v>106</v>
      </c>
      <c r="C170" s="207" t="str">
        <f>'Employer Allocations'!A154</f>
        <v>Shelby County Schools</v>
      </c>
      <c r="D170" s="294">
        <v>0</v>
      </c>
      <c r="E170" s="209">
        <v>147191530</v>
      </c>
      <c r="F170" s="209">
        <v>147191530</v>
      </c>
      <c r="G170" s="294">
        <v>0</v>
      </c>
      <c r="H170" s="294">
        <v>0</v>
      </c>
      <c r="I170" s="294">
        <v>0</v>
      </c>
      <c r="J170" s="294">
        <v>0</v>
      </c>
      <c r="K170" s="294">
        <v>0</v>
      </c>
      <c r="L170" s="294"/>
      <c r="M170" s="294"/>
      <c r="N170" s="294">
        <v>0</v>
      </c>
      <c r="O170" s="294">
        <v>0</v>
      </c>
      <c r="P170" s="294">
        <v>0</v>
      </c>
      <c r="Q170" s="294">
        <v>0</v>
      </c>
      <c r="R170" s="294">
        <v>0</v>
      </c>
      <c r="S170" s="294">
        <v>0</v>
      </c>
      <c r="T170" s="209">
        <v>-16332176</v>
      </c>
      <c r="U170" s="209">
        <v>-16332176</v>
      </c>
      <c r="V170" s="294">
        <v>0</v>
      </c>
      <c r="W170" s="209">
        <v>-16332176</v>
      </c>
      <c r="X170" s="209"/>
      <c r="Y170" s="347"/>
      <c r="Z170" s="347"/>
      <c r="AA170" s="347"/>
      <c r="AB170" s="347"/>
    </row>
    <row r="171" spans="2:28" x14ac:dyDescent="0.3">
      <c r="B171" s="214">
        <v>107</v>
      </c>
      <c r="C171" s="207" t="str">
        <f>'Employer Allocations'!A155</f>
        <v>Simpson County Schools</v>
      </c>
      <c r="D171" s="294">
        <v>0</v>
      </c>
      <c r="E171" s="209">
        <v>57491640</v>
      </c>
      <c r="F171" s="209">
        <v>57491640</v>
      </c>
      <c r="G171" s="294">
        <v>0</v>
      </c>
      <c r="H171" s="294">
        <v>0</v>
      </c>
      <c r="I171" s="294">
        <v>0</v>
      </c>
      <c r="J171" s="294">
        <v>0</v>
      </c>
      <c r="K171" s="294">
        <v>0</v>
      </c>
      <c r="L171" s="294"/>
      <c r="M171" s="294"/>
      <c r="N171" s="294">
        <v>0</v>
      </c>
      <c r="O171" s="294">
        <v>0</v>
      </c>
      <c r="P171" s="294">
        <v>0</v>
      </c>
      <c r="Q171" s="294">
        <v>0</v>
      </c>
      <c r="R171" s="294">
        <v>0</v>
      </c>
      <c r="S171" s="294">
        <v>0</v>
      </c>
      <c r="T171" s="209">
        <v>-6379196</v>
      </c>
      <c r="U171" s="209">
        <v>-6379196</v>
      </c>
      <c r="V171" s="294">
        <v>0</v>
      </c>
      <c r="W171" s="209">
        <v>-6379196</v>
      </c>
      <c r="X171" s="209"/>
      <c r="Y171" s="347"/>
      <c r="Z171" s="347"/>
      <c r="AA171" s="347"/>
      <c r="AB171" s="347"/>
    </row>
    <row r="172" spans="2:28" x14ac:dyDescent="0.3">
      <c r="B172" s="214">
        <v>108</v>
      </c>
      <c r="C172" s="207" t="str">
        <f>'Employer Allocations'!A156</f>
        <v>Spencer County Schools</v>
      </c>
      <c r="D172" s="294">
        <v>0</v>
      </c>
      <c r="E172" s="209">
        <v>56389984</v>
      </c>
      <c r="F172" s="209">
        <v>56389984</v>
      </c>
      <c r="G172" s="294">
        <v>0</v>
      </c>
      <c r="H172" s="294">
        <v>0</v>
      </c>
      <c r="I172" s="294">
        <v>0</v>
      </c>
      <c r="J172" s="294">
        <v>0</v>
      </c>
      <c r="K172" s="294">
        <v>0</v>
      </c>
      <c r="L172" s="294"/>
      <c r="M172" s="294"/>
      <c r="N172" s="294">
        <v>0</v>
      </c>
      <c r="O172" s="294">
        <v>0</v>
      </c>
      <c r="P172" s="294">
        <v>0</v>
      </c>
      <c r="Q172" s="294">
        <v>0</v>
      </c>
      <c r="R172" s="294">
        <v>0</v>
      </c>
      <c r="S172" s="294">
        <v>0</v>
      </c>
      <c r="T172" s="209">
        <v>-6256957</v>
      </c>
      <c r="U172" s="209">
        <v>-6256957</v>
      </c>
      <c r="V172" s="294">
        <v>0</v>
      </c>
      <c r="W172" s="209">
        <v>-6256957</v>
      </c>
      <c r="X172" s="209"/>
      <c r="Y172" s="347"/>
      <c r="Z172" s="347"/>
      <c r="AA172" s="347"/>
      <c r="AB172" s="347"/>
    </row>
    <row r="173" spans="2:28" x14ac:dyDescent="0.3">
      <c r="B173" s="214">
        <v>109</v>
      </c>
      <c r="C173" s="207" t="str">
        <f>'Employer Allocations'!A157</f>
        <v>Taylor County Schools</v>
      </c>
      <c r="D173" s="294">
        <v>0</v>
      </c>
      <c r="E173" s="209">
        <v>48140954</v>
      </c>
      <c r="F173" s="209">
        <v>48140954</v>
      </c>
      <c r="G173" s="294">
        <v>0</v>
      </c>
      <c r="H173" s="294">
        <v>0</v>
      </c>
      <c r="I173" s="294">
        <v>0</v>
      </c>
      <c r="J173" s="294">
        <v>0</v>
      </c>
      <c r="K173" s="294">
        <v>0</v>
      </c>
      <c r="L173" s="294"/>
      <c r="M173" s="294"/>
      <c r="N173" s="294">
        <v>0</v>
      </c>
      <c r="O173" s="294">
        <v>0</v>
      </c>
      <c r="P173" s="294">
        <v>0</v>
      </c>
      <c r="Q173" s="294">
        <v>0</v>
      </c>
      <c r="R173" s="294">
        <v>0</v>
      </c>
      <c r="S173" s="294">
        <v>0</v>
      </c>
      <c r="T173" s="209">
        <v>-5341656</v>
      </c>
      <c r="U173" s="209">
        <v>-5341656</v>
      </c>
      <c r="V173" s="294">
        <v>0</v>
      </c>
      <c r="W173" s="209">
        <v>-5341656</v>
      </c>
      <c r="X173" s="209"/>
      <c r="Y173" s="347"/>
      <c r="Z173" s="347"/>
      <c r="AA173" s="347"/>
      <c r="AB173" s="347"/>
    </row>
    <row r="174" spans="2:28" x14ac:dyDescent="0.3">
      <c r="B174" s="214">
        <v>110</v>
      </c>
      <c r="C174" s="207" t="str">
        <f>'Employer Allocations'!A158</f>
        <v>Todd County Schools</v>
      </c>
      <c r="D174" s="294">
        <v>0</v>
      </c>
      <c r="E174" s="209">
        <v>31575715</v>
      </c>
      <c r="F174" s="209">
        <v>31575715</v>
      </c>
      <c r="G174" s="294">
        <v>0</v>
      </c>
      <c r="H174" s="294">
        <v>0</v>
      </c>
      <c r="I174" s="294">
        <v>0</v>
      </c>
      <c r="J174" s="294">
        <v>0</v>
      </c>
      <c r="K174" s="294">
        <v>0</v>
      </c>
      <c r="L174" s="294"/>
      <c r="M174" s="294"/>
      <c r="N174" s="294">
        <v>0</v>
      </c>
      <c r="O174" s="294">
        <v>0</v>
      </c>
      <c r="P174" s="294">
        <v>0</v>
      </c>
      <c r="Q174" s="294">
        <v>0</v>
      </c>
      <c r="R174" s="294">
        <v>0</v>
      </c>
      <c r="S174" s="294">
        <v>0</v>
      </c>
      <c r="T174" s="209">
        <v>-3503599</v>
      </c>
      <c r="U174" s="209">
        <v>-3503599</v>
      </c>
      <c r="V174" s="294">
        <v>0</v>
      </c>
      <c r="W174" s="209">
        <v>-3503599</v>
      </c>
      <c r="X174" s="209"/>
      <c r="Y174" s="347"/>
      <c r="Z174" s="347"/>
      <c r="AA174" s="347"/>
      <c r="AB174" s="347"/>
    </row>
    <row r="175" spans="2:28" x14ac:dyDescent="0.3">
      <c r="B175" s="214">
        <v>111</v>
      </c>
      <c r="C175" s="207" t="str">
        <f>'Employer Allocations'!A159</f>
        <v>Trigg County Schools</v>
      </c>
      <c r="D175" s="294">
        <v>0</v>
      </c>
      <c r="E175" s="209">
        <v>42145551</v>
      </c>
      <c r="F175" s="209">
        <v>42145551</v>
      </c>
      <c r="G175" s="294">
        <v>0</v>
      </c>
      <c r="H175" s="294">
        <v>0</v>
      </c>
      <c r="I175" s="294">
        <v>0</v>
      </c>
      <c r="J175" s="294">
        <v>0</v>
      </c>
      <c r="K175" s="294">
        <v>0</v>
      </c>
      <c r="L175" s="294"/>
      <c r="M175" s="294"/>
      <c r="N175" s="294">
        <v>0</v>
      </c>
      <c r="O175" s="294">
        <v>0</v>
      </c>
      <c r="P175" s="294">
        <v>0</v>
      </c>
      <c r="Q175" s="294">
        <v>0</v>
      </c>
      <c r="R175" s="294">
        <v>0</v>
      </c>
      <c r="S175" s="294">
        <v>0</v>
      </c>
      <c r="T175" s="209">
        <v>-4676414</v>
      </c>
      <c r="U175" s="209">
        <v>-4676414</v>
      </c>
      <c r="V175" s="294">
        <v>0</v>
      </c>
      <c r="W175" s="209">
        <v>-4676414</v>
      </c>
      <c r="X175" s="209"/>
      <c r="Y175" s="347"/>
      <c r="Z175" s="347"/>
      <c r="AA175" s="347"/>
      <c r="AB175" s="347"/>
    </row>
    <row r="176" spans="2:28" x14ac:dyDescent="0.3">
      <c r="B176" s="214">
        <v>112</v>
      </c>
      <c r="C176" s="207" t="str">
        <f>'Employer Allocations'!A160</f>
        <v>Trimble County Schools</v>
      </c>
      <c r="D176" s="294">
        <v>0</v>
      </c>
      <c r="E176" s="209">
        <v>20766075</v>
      </c>
      <c r="F176" s="209">
        <v>20766075</v>
      </c>
      <c r="G176" s="294">
        <v>0</v>
      </c>
      <c r="H176" s="294">
        <v>0</v>
      </c>
      <c r="I176" s="294">
        <v>0</v>
      </c>
      <c r="J176" s="294">
        <v>0</v>
      </c>
      <c r="K176" s="294">
        <v>0</v>
      </c>
      <c r="L176" s="294"/>
      <c r="M176" s="294"/>
      <c r="N176" s="294">
        <v>0</v>
      </c>
      <c r="O176" s="294">
        <v>0</v>
      </c>
      <c r="P176" s="294">
        <v>0</v>
      </c>
      <c r="Q176" s="294">
        <v>0</v>
      </c>
      <c r="R176" s="294">
        <v>0</v>
      </c>
      <c r="S176" s="294">
        <v>0</v>
      </c>
      <c r="T176" s="209">
        <v>-2304176</v>
      </c>
      <c r="U176" s="209">
        <v>-2304176</v>
      </c>
      <c r="V176" s="294">
        <v>0</v>
      </c>
      <c r="W176" s="209">
        <v>-2304176</v>
      </c>
      <c r="X176" s="209"/>
      <c r="Y176" s="347"/>
      <c r="Z176" s="347"/>
      <c r="AA176" s="347"/>
      <c r="AB176" s="347"/>
    </row>
    <row r="177" spans="2:28" x14ac:dyDescent="0.3">
      <c r="B177" s="214">
        <v>113</v>
      </c>
      <c r="C177" s="207" t="str">
        <f>'Employer Allocations'!A161</f>
        <v>Union County Schools</v>
      </c>
      <c r="D177" s="294">
        <v>0</v>
      </c>
      <c r="E177" s="209">
        <v>40430918</v>
      </c>
      <c r="F177" s="209">
        <v>40430918</v>
      </c>
      <c r="G177" s="294">
        <v>0</v>
      </c>
      <c r="H177" s="294">
        <v>0</v>
      </c>
      <c r="I177" s="294">
        <v>0</v>
      </c>
      <c r="J177" s="294">
        <v>0</v>
      </c>
      <c r="K177" s="294">
        <v>0</v>
      </c>
      <c r="L177" s="294"/>
      <c r="M177" s="294"/>
      <c r="N177" s="294">
        <v>0</v>
      </c>
      <c r="O177" s="294">
        <v>0</v>
      </c>
      <c r="P177" s="294">
        <v>0</v>
      </c>
      <c r="Q177" s="294">
        <v>0</v>
      </c>
      <c r="R177" s="294">
        <v>0</v>
      </c>
      <c r="S177" s="294">
        <v>0</v>
      </c>
      <c r="T177" s="209">
        <v>-4486161</v>
      </c>
      <c r="U177" s="209">
        <v>-4486161</v>
      </c>
      <c r="V177" s="294">
        <v>0</v>
      </c>
      <c r="W177" s="209">
        <v>-4486161</v>
      </c>
      <c r="X177" s="209"/>
      <c r="Y177" s="347"/>
      <c r="Z177" s="347"/>
      <c r="AA177" s="347"/>
      <c r="AB177" s="347"/>
    </row>
    <row r="178" spans="2:28" x14ac:dyDescent="0.3">
      <c r="B178" s="214">
        <v>114</v>
      </c>
      <c r="C178" s="207" t="str">
        <f>'Employer Allocations'!A162</f>
        <v>Warren County Schools</v>
      </c>
      <c r="D178" s="294">
        <v>0</v>
      </c>
      <c r="E178" s="209">
        <v>286728865</v>
      </c>
      <c r="F178" s="209">
        <v>286728865</v>
      </c>
      <c r="G178" s="294">
        <v>0</v>
      </c>
      <c r="H178" s="294">
        <v>0</v>
      </c>
      <c r="I178" s="294">
        <v>0</v>
      </c>
      <c r="J178" s="294">
        <v>0</v>
      </c>
      <c r="K178" s="294">
        <v>0</v>
      </c>
      <c r="L178" s="294"/>
      <c r="M178" s="294"/>
      <c r="N178" s="294">
        <v>0</v>
      </c>
      <c r="O178" s="294">
        <v>0</v>
      </c>
      <c r="P178" s="294">
        <v>0</v>
      </c>
      <c r="Q178" s="294">
        <v>0</v>
      </c>
      <c r="R178" s="294">
        <v>0</v>
      </c>
      <c r="S178" s="294">
        <v>0</v>
      </c>
      <c r="T178" s="209">
        <v>-31815053</v>
      </c>
      <c r="U178" s="209">
        <v>-31815053</v>
      </c>
      <c r="V178" s="294">
        <v>0</v>
      </c>
      <c r="W178" s="209">
        <v>-31815053</v>
      </c>
      <c r="X178" s="209"/>
      <c r="Y178" s="347"/>
      <c r="Z178" s="347"/>
      <c r="AA178" s="347"/>
      <c r="AB178" s="347"/>
    </row>
    <row r="179" spans="2:28" x14ac:dyDescent="0.3">
      <c r="B179" s="214">
        <v>115</v>
      </c>
      <c r="C179" s="207" t="str">
        <f>'Employer Allocations'!A163</f>
        <v>Washington County Schools</v>
      </c>
      <c r="D179" s="294">
        <v>0</v>
      </c>
      <c r="E179" s="209">
        <v>34015715</v>
      </c>
      <c r="F179" s="209">
        <v>34015715</v>
      </c>
      <c r="G179" s="294">
        <v>0</v>
      </c>
      <c r="H179" s="294">
        <v>0</v>
      </c>
      <c r="I179" s="294">
        <v>0</v>
      </c>
      <c r="J179" s="294">
        <v>0</v>
      </c>
      <c r="K179" s="294">
        <v>0</v>
      </c>
      <c r="L179" s="294"/>
      <c r="M179" s="294"/>
      <c r="N179" s="294">
        <v>0</v>
      </c>
      <c r="O179" s="294">
        <v>0</v>
      </c>
      <c r="P179" s="294">
        <v>0</v>
      </c>
      <c r="Q179" s="294">
        <v>0</v>
      </c>
      <c r="R179" s="294">
        <v>0</v>
      </c>
      <c r="S179" s="294">
        <v>0</v>
      </c>
      <c r="T179" s="209">
        <v>-3774338</v>
      </c>
      <c r="U179" s="209">
        <v>-3774338</v>
      </c>
      <c r="V179" s="294">
        <v>0</v>
      </c>
      <c r="W179" s="209">
        <v>-3774338</v>
      </c>
      <c r="X179" s="209"/>
      <c r="Y179" s="347"/>
      <c r="Z179" s="347"/>
      <c r="AA179" s="347"/>
      <c r="AB179" s="347"/>
    </row>
    <row r="180" spans="2:28" x14ac:dyDescent="0.3">
      <c r="B180" s="214">
        <v>116</v>
      </c>
      <c r="C180" s="207" t="str">
        <f>'Employer Allocations'!A164</f>
        <v>Wayne County Schools</v>
      </c>
      <c r="D180" s="294">
        <v>0</v>
      </c>
      <c r="E180" s="209">
        <v>55838234</v>
      </c>
      <c r="F180" s="209">
        <v>55838234</v>
      </c>
      <c r="G180" s="294">
        <v>0</v>
      </c>
      <c r="H180" s="294">
        <v>0</v>
      </c>
      <c r="I180" s="294">
        <v>0</v>
      </c>
      <c r="J180" s="294">
        <v>0</v>
      </c>
      <c r="K180" s="294">
        <v>0</v>
      </c>
      <c r="L180" s="294"/>
      <c r="M180" s="294"/>
      <c r="N180" s="294">
        <v>0</v>
      </c>
      <c r="O180" s="294">
        <v>0</v>
      </c>
      <c r="P180" s="294">
        <v>0</v>
      </c>
      <c r="Q180" s="294">
        <v>0</v>
      </c>
      <c r="R180" s="294">
        <v>0</v>
      </c>
      <c r="S180" s="294">
        <v>0</v>
      </c>
      <c r="T180" s="209">
        <v>-6195736</v>
      </c>
      <c r="U180" s="209">
        <v>-6195736</v>
      </c>
      <c r="V180" s="294">
        <v>0</v>
      </c>
      <c r="W180" s="209">
        <v>-6195736</v>
      </c>
      <c r="X180" s="209"/>
      <c r="Y180" s="347"/>
      <c r="Z180" s="347"/>
      <c r="AA180" s="347"/>
      <c r="AB180" s="347"/>
    </row>
    <row r="181" spans="2:28" x14ac:dyDescent="0.3">
      <c r="B181" s="214">
        <v>117</v>
      </c>
      <c r="C181" s="207" t="str">
        <f>'Employer Allocations'!A165</f>
        <v>Webster County Schools</v>
      </c>
      <c r="D181" s="294">
        <v>0</v>
      </c>
      <c r="E181" s="209">
        <v>38095231</v>
      </c>
      <c r="F181" s="209">
        <v>38095231</v>
      </c>
      <c r="G181" s="294">
        <v>0</v>
      </c>
      <c r="H181" s="294">
        <v>0</v>
      </c>
      <c r="I181" s="294">
        <v>0</v>
      </c>
      <c r="J181" s="294">
        <v>0</v>
      </c>
      <c r="K181" s="294">
        <v>0</v>
      </c>
      <c r="L181" s="294"/>
      <c r="M181" s="294"/>
      <c r="N181" s="294">
        <v>0</v>
      </c>
      <c r="O181" s="294">
        <v>0</v>
      </c>
      <c r="P181" s="294">
        <v>0</v>
      </c>
      <c r="Q181" s="294">
        <v>0</v>
      </c>
      <c r="R181" s="294">
        <v>0</v>
      </c>
      <c r="S181" s="294">
        <v>0</v>
      </c>
      <c r="T181" s="209">
        <v>-4226996</v>
      </c>
      <c r="U181" s="209">
        <v>-4226996</v>
      </c>
      <c r="V181" s="294">
        <v>0</v>
      </c>
      <c r="W181" s="209">
        <v>-4226996</v>
      </c>
      <c r="X181" s="209"/>
      <c r="Y181" s="347"/>
      <c r="Z181" s="347"/>
      <c r="AA181" s="347"/>
      <c r="AB181" s="347"/>
    </row>
    <row r="182" spans="2:28" x14ac:dyDescent="0.3">
      <c r="B182" s="214">
        <v>118</v>
      </c>
      <c r="C182" s="207" t="str">
        <f>'Employer Allocations'!A166</f>
        <v>Whitley County Schools</v>
      </c>
      <c r="D182" s="294">
        <v>0</v>
      </c>
      <c r="E182" s="209">
        <v>78470591</v>
      </c>
      <c r="F182" s="209">
        <v>78470591</v>
      </c>
      <c r="G182" s="294">
        <v>0</v>
      </c>
      <c r="H182" s="294">
        <v>0</v>
      </c>
      <c r="I182" s="294">
        <v>0</v>
      </c>
      <c r="J182" s="294">
        <v>0</v>
      </c>
      <c r="K182" s="294">
        <v>0</v>
      </c>
      <c r="L182" s="294"/>
      <c r="M182" s="294"/>
      <c r="N182" s="294">
        <v>0</v>
      </c>
      <c r="O182" s="294">
        <v>0</v>
      </c>
      <c r="P182" s="294">
        <v>0</v>
      </c>
      <c r="Q182" s="294">
        <v>0</v>
      </c>
      <c r="R182" s="294">
        <v>0</v>
      </c>
      <c r="S182" s="294">
        <v>0</v>
      </c>
      <c r="T182" s="209">
        <v>-8706992</v>
      </c>
      <c r="U182" s="209">
        <v>-8706992</v>
      </c>
      <c r="V182" s="294">
        <v>0</v>
      </c>
      <c r="W182" s="209">
        <v>-8706992</v>
      </c>
      <c r="X182" s="209"/>
      <c r="Y182" s="347"/>
      <c r="Z182" s="347"/>
      <c r="AA182" s="347"/>
      <c r="AB182" s="347"/>
    </row>
    <row r="183" spans="2:28" x14ac:dyDescent="0.3">
      <c r="B183" s="214">
        <v>119</v>
      </c>
      <c r="C183" s="207" t="str">
        <f>'Employer Allocations'!A167</f>
        <v>Wolfe County Schools</v>
      </c>
      <c r="D183" s="294">
        <v>0</v>
      </c>
      <c r="E183" s="209">
        <v>25556360</v>
      </c>
      <c r="F183" s="209">
        <v>25556360</v>
      </c>
      <c r="G183" s="294">
        <v>0</v>
      </c>
      <c r="H183" s="294">
        <v>0</v>
      </c>
      <c r="I183" s="294">
        <v>0</v>
      </c>
      <c r="J183" s="294">
        <v>0</v>
      </c>
      <c r="K183" s="294">
        <v>0</v>
      </c>
      <c r="L183" s="294"/>
      <c r="M183" s="294"/>
      <c r="N183" s="294">
        <v>0</v>
      </c>
      <c r="O183" s="294">
        <v>0</v>
      </c>
      <c r="P183" s="294">
        <v>0</v>
      </c>
      <c r="Q183" s="294">
        <v>0</v>
      </c>
      <c r="R183" s="294">
        <v>0</v>
      </c>
      <c r="S183" s="294">
        <v>0</v>
      </c>
      <c r="T183" s="209">
        <v>-2835700</v>
      </c>
      <c r="U183" s="209">
        <v>-2835700</v>
      </c>
      <c r="V183" s="294">
        <v>0</v>
      </c>
      <c r="W183" s="209">
        <v>-2835700</v>
      </c>
      <c r="X183" s="209"/>
      <c r="Y183" s="347"/>
      <c r="Z183" s="347"/>
      <c r="AA183" s="347"/>
      <c r="AB183" s="347"/>
    </row>
    <row r="184" spans="2:28" x14ac:dyDescent="0.3">
      <c r="B184" s="214">
        <v>120</v>
      </c>
      <c r="C184" s="207" t="str">
        <f>'Employer Allocations'!A168</f>
        <v>Woodford County Schools</v>
      </c>
      <c r="D184" s="294">
        <v>0</v>
      </c>
      <c r="E184" s="209">
        <v>77448586</v>
      </c>
      <c r="F184" s="209">
        <v>77448586</v>
      </c>
      <c r="G184" s="294">
        <v>0</v>
      </c>
      <c r="H184" s="294">
        <v>0</v>
      </c>
      <c r="I184" s="294">
        <v>0</v>
      </c>
      <c r="J184" s="294">
        <v>0</v>
      </c>
      <c r="K184" s="294">
        <v>0</v>
      </c>
      <c r="L184" s="294"/>
      <c r="M184" s="294"/>
      <c r="N184" s="294">
        <v>0</v>
      </c>
      <c r="O184" s="294">
        <v>0</v>
      </c>
      <c r="P184" s="294">
        <v>0</v>
      </c>
      <c r="Q184" s="294">
        <v>0</v>
      </c>
      <c r="R184" s="294">
        <v>0</v>
      </c>
      <c r="S184" s="294">
        <v>0</v>
      </c>
      <c r="T184" s="209">
        <v>-8593592</v>
      </c>
      <c r="U184" s="209">
        <v>-8593592</v>
      </c>
      <c r="V184" s="294">
        <v>0</v>
      </c>
      <c r="W184" s="209">
        <v>-8593592</v>
      </c>
      <c r="X184" s="209"/>
      <c r="Y184" s="347"/>
      <c r="Z184" s="347"/>
      <c r="AA184" s="347"/>
      <c r="AB184" s="347"/>
    </row>
    <row r="185" spans="2:28" x14ac:dyDescent="0.3">
      <c r="B185" s="214">
        <v>122</v>
      </c>
      <c r="C185" s="207" t="str">
        <f>'Employer Allocations'!A169</f>
        <v>Anchorage City Schools</v>
      </c>
      <c r="D185" s="336">
        <v>0</v>
      </c>
      <c r="E185" s="336">
        <v>15997899</v>
      </c>
      <c r="F185" s="336">
        <v>15997899</v>
      </c>
      <c r="G185" s="336">
        <v>0</v>
      </c>
      <c r="H185" s="336">
        <v>0</v>
      </c>
      <c r="I185" s="336">
        <v>0</v>
      </c>
      <c r="J185" s="336">
        <v>0</v>
      </c>
      <c r="K185" s="336">
        <v>0</v>
      </c>
      <c r="L185" s="336"/>
      <c r="M185" s="336"/>
      <c r="N185" s="336">
        <v>0</v>
      </c>
      <c r="O185" s="336">
        <v>0</v>
      </c>
      <c r="P185" s="336">
        <v>0</v>
      </c>
      <c r="Q185" s="336">
        <v>0</v>
      </c>
      <c r="R185" s="336">
        <v>0</v>
      </c>
      <c r="S185" s="336">
        <v>0</v>
      </c>
      <c r="T185" s="336">
        <v>-1775106</v>
      </c>
      <c r="U185" s="336">
        <v>-1775106</v>
      </c>
      <c r="V185" s="336">
        <v>0</v>
      </c>
      <c r="W185" s="336">
        <v>-1775106</v>
      </c>
      <c r="X185" s="209"/>
      <c r="Y185" s="347"/>
      <c r="Z185" s="347"/>
      <c r="AA185" s="347"/>
      <c r="AB185" s="347"/>
    </row>
    <row r="186" spans="2:28" x14ac:dyDescent="0.3">
      <c r="B186" s="214">
        <v>124</v>
      </c>
      <c r="C186" s="207" t="str">
        <f>'Employer Allocations'!A170</f>
        <v>Ashland City Schools</v>
      </c>
      <c r="D186" s="294">
        <v>0</v>
      </c>
      <c r="E186" s="209">
        <v>64096760</v>
      </c>
      <c r="F186" s="209">
        <v>64096760</v>
      </c>
      <c r="G186" s="294">
        <v>0</v>
      </c>
      <c r="H186" s="294">
        <v>0</v>
      </c>
      <c r="I186" s="294">
        <v>0</v>
      </c>
      <c r="J186" s="294">
        <v>0</v>
      </c>
      <c r="K186" s="294">
        <v>0</v>
      </c>
      <c r="L186" s="294"/>
      <c r="M186" s="294"/>
      <c r="N186" s="294">
        <v>0</v>
      </c>
      <c r="O186" s="294">
        <v>0</v>
      </c>
      <c r="P186" s="294">
        <v>0</v>
      </c>
      <c r="Q186" s="294">
        <v>0</v>
      </c>
      <c r="R186" s="294">
        <v>0</v>
      </c>
      <c r="S186" s="294">
        <v>0</v>
      </c>
      <c r="T186" s="209">
        <v>-7112091</v>
      </c>
      <c r="U186" s="209">
        <v>-7112091</v>
      </c>
      <c r="V186" s="294">
        <v>0</v>
      </c>
      <c r="W186" s="209">
        <v>-7112091</v>
      </c>
      <c r="X186" s="209"/>
      <c r="Y186" s="347"/>
      <c r="Z186" s="347"/>
      <c r="AA186" s="347"/>
      <c r="AB186" s="347"/>
    </row>
    <row r="187" spans="2:28" x14ac:dyDescent="0.3">
      <c r="B187" s="214">
        <v>125</v>
      </c>
      <c r="C187" s="207" t="str">
        <f>'Employer Allocations'!A171</f>
        <v>Augusta City Schools</v>
      </c>
      <c r="D187" s="294">
        <v>0</v>
      </c>
      <c r="E187" s="209">
        <v>6277301</v>
      </c>
      <c r="F187" s="209">
        <v>6277301</v>
      </c>
      <c r="G187" s="294">
        <v>0</v>
      </c>
      <c r="H187" s="294">
        <v>0</v>
      </c>
      <c r="I187" s="294">
        <v>0</v>
      </c>
      <c r="J187" s="294">
        <v>0</v>
      </c>
      <c r="K187" s="294">
        <v>0</v>
      </c>
      <c r="L187" s="294"/>
      <c r="M187" s="294"/>
      <c r="N187" s="294">
        <v>0</v>
      </c>
      <c r="O187" s="294">
        <v>0</v>
      </c>
      <c r="P187" s="294">
        <v>0</v>
      </c>
      <c r="Q187" s="294">
        <v>0</v>
      </c>
      <c r="R187" s="294">
        <v>0</v>
      </c>
      <c r="S187" s="294">
        <v>0</v>
      </c>
      <c r="T187" s="209">
        <v>-696521</v>
      </c>
      <c r="U187" s="209">
        <v>-696521</v>
      </c>
      <c r="V187" s="294">
        <v>0</v>
      </c>
      <c r="W187" s="209">
        <v>-696521</v>
      </c>
      <c r="X187" s="209"/>
      <c r="Y187" s="347"/>
      <c r="Z187" s="347"/>
      <c r="AA187" s="347"/>
      <c r="AB187" s="347"/>
    </row>
    <row r="188" spans="2:28" x14ac:dyDescent="0.3">
      <c r="B188" s="214">
        <v>126</v>
      </c>
      <c r="C188" s="207" t="str">
        <f>'Employer Allocations'!A172</f>
        <v>Barbourville City Schools</v>
      </c>
      <c r="D188" s="294">
        <v>0</v>
      </c>
      <c r="E188" s="209">
        <v>12866973</v>
      </c>
      <c r="F188" s="209">
        <v>12866973</v>
      </c>
      <c r="G188" s="294">
        <v>0</v>
      </c>
      <c r="H188" s="294">
        <v>0</v>
      </c>
      <c r="I188" s="294">
        <v>0</v>
      </c>
      <c r="J188" s="294">
        <v>0</v>
      </c>
      <c r="K188" s="294">
        <v>0</v>
      </c>
      <c r="L188" s="294"/>
      <c r="M188" s="294"/>
      <c r="N188" s="294">
        <v>0</v>
      </c>
      <c r="O188" s="294">
        <v>0</v>
      </c>
      <c r="P188" s="294">
        <v>0</v>
      </c>
      <c r="Q188" s="294">
        <v>0</v>
      </c>
      <c r="R188" s="294">
        <v>0</v>
      </c>
      <c r="S188" s="294">
        <v>0</v>
      </c>
      <c r="T188" s="209">
        <v>-1427702</v>
      </c>
      <c r="U188" s="209">
        <v>-1427702</v>
      </c>
      <c r="V188" s="294">
        <v>0</v>
      </c>
      <c r="W188" s="209">
        <v>-1427702</v>
      </c>
      <c r="X188" s="209"/>
      <c r="Y188" s="347"/>
      <c r="Z188" s="347"/>
      <c r="AA188" s="347"/>
      <c r="AB188" s="347"/>
    </row>
    <row r="189" spans="2:28" x14ac:dyDescent="0.3">
      <c r="B189" s="214">
        <v>127</v>
      </c>
      <c r="C189" s="207" t="str">
        <f>'Employer Allocations'!A173</f>
        <v>Bardstown City Schools</v>
      </c>
      <c r="D189" s="294">
        <v>0</v>
      </c>
      <c r="E189" s="209">
        <v>62015617</v>
      </c>
      <c r="F189" s="209">
        <v>62015617</v>
      </c>
      <c r="G189" s="294">
        <v>0</v>
      </c>
      <c r="H189" s="294">
        <v>0</v>
      </c>
      <c r="I189" s="294">
        <v>0</v>
      </c>
      <c r="J189" s="294">
        <v>0</v>
      </c>
      <c r="K189" s="294">
        <v>0</v>
      </c>
      <c r="L189" s="294"/>
      <c r="M189" s="294"/>
      <c r="N189" s="294">
        <v>0</v>
      </c>
      <c r="O189" s="294">
        <v>0</v>
      </c>
      <c r="P189" s="294">
        <v>0</v>
      </c>
      <c r="Q189" s="294">
        <v>0</v>
      </c>
      <c r="R189" s="294">
        <v>0</v>
      </c>
      <c r="S189" s="294">
        <v>0</v>
      </c>
      <c r="T189" s="209">
        <v>-6881170</v>
      </c>
      <c r="U189" s="209">
        <v>-6881170</v>
      </c>
      <c r="V189" s="294">
        <v>0</v>
      </c>
      <c r="W189" s="209">
        <v>-6881170</v>
      </c>
      <c r="X189" s="209"/>
      <c r="Y189" s="347"/>
      <c r="Z189" s="347"/>
      <c r="AA189" s="347"/>
      <c r="AB189" s="347"/>
    </row>
    <row r="190" spans="2:28" x14ac:dyDescent="0.3">
      <c r="B190" s="214">
        <v>128</v>
      </c>
      <c r="C190" s="207" t="str">
        <f>'Employer Allocations'!A174</f>
        <v>Beechwood Independent Schools</v>
      </c>
      <c r="D190" s="294">
        <v>0</v>
      </c>
      <c r="E190" s="209">
        <v>29578617</v>
      </c>
      <c r="F190" s="209">
        <v>29578617</v>
      </c>
      <c r="G190" s="294">
        <v>0</v>
      </c>
      <c r="H190" s="294">
        <v>0</v>
      </c>
      <c r="I190" s="294">
        <v>0</v>
      </c>
      <c r="J190" s="294">
        <v>0</v>
      </c>
      <c r="K190" s="294">
        <v>0</v>
      </c>
      <c r="L190" s="294"/>
      <c r="M190" s="294"/>
      <c r="N190" s="294">
        <v>0</v>
      </c>
      <c r="O190" s="294">
        <v>0</v>
      </c>
      <c r="P190" s="294">
        <v>0</v>
      </c>
      <c r="Q190" s="294">
        <v>0</v>
      </c>
      <c r="R190" s="294">
        <v>0</v>
      </c>
      <c r="S190" s="294">
        <v>0</v>
      </c>
      <c r="T190" s="209">
        <v>-3282004</v>
      </c>
      <c r="U190" s="209">
        <v>-3282004</v>
      </c>
      <c r="V190" s="294">
        <v>0</v>
      </c>
      <c r="W190" s="209">
        <v>-3282004</v>
      </c>
      <c r="X190" s="209"/>
      <c r="Y190" s="347"/>
      <c r="Z190" s="347"/>
      <c r="AA190" s="347"/>
      <c r="AB190" s="347"/>
    </row>
    <row r="191" spans="2:28" x14ac:dyDescent="0.3">
      <c r="B191" s="214">
        <v>129</v>
      </c>
      <c r="C191" s="207" t="str">
        <f>'Employer Allocations'!A175</f>
        <v>Bellevue City Schools</v>
      </c>
      <c r="D191" s="294">
        <v>0</v>
      </c>
      <c r="E191" s="209">
        <v>14299424</v>
      </c>
      <c r="F191" s="209">
        <v>14299424</v>
      </c>
      <c r="G191" s="294">
        <v>0</v>
      </c>
      <c r="H191" s="294">
        <v>0</v>
      </c>
      <c r="I191" s="294">
        <v>0</v>
      </c>
      <c r="J191" s="294">
        <v>0</v>
      </c>
      <c r="K191" s="294">
        <v>0</v>
      </c>
      <c r="L191" s="294"/>
      <c r="M191" s="294"/>
      <c r="N191" s="294">
        <v>0</v>
      </c>
      <c r="O191" s="294">
        <v>0</v>
      </c>
      <c r="P191" s="294">
        <v>0</v>
      </c>
      <c r="Q191" s="294">
        <v>0</v>
      </c>
      <c r="R191" s="294">
        <v>0</v>
      </c>
      <c r="S191" s="294">
        <v>0</v>
      </c>
      <c r="T191" s="209">
        <v>-1586645</v>
      </c>
      <c r="U191" s="209">
        <v>-1586645</v>
      </c>
      <c r="V191" s="294">
        <v>0</v>
      </c>
      <c r="W191" s="209">
        <v>-1586645</v>
      </c>
      <c r="X191" s="209"/>
      <c r="Y191" s="347"/>
      <c r="Z191" s="347"/>
      <c r="AA191" s="347"/>
      <c r="AB191" s="347"/>
    </row>
    <row r="192" spans="2:28" x14ac:dyDescent="0.3">
      <c r="B192" s="214">
        <v>131</v>
      </c>
      <c r="C192" s="207" t="str">
        <f>'Employer Allocations'!A176</f>
        <v>Berea City Schools</v>
      </c>
      <c r="D192" s="294">
        <v>0</v>
      </c>
      <c r="E192" s="209">
        <v>23576553</v>
      </c>
      <c r="F192" s="209">
        <v>23576553</v>
      </c>
      <c r="G192" s="294">
        <v>0</v>
      </c>
      <c r="H192" s="294">
        <v>0</v>
      </c>
      <c r="I192" s="294">
        <v>0</v>
      </c>
      <c r="J192" s="294">
        <v>0</v>
      </c>
      <c r="K192" s="294">
        <v>0</v>
      </c>
      <c r="L192" s="294"/>
      <c r="M192" s="294"/>
      <c r="N192" s="294">
        <v>0</v>
      </c>
      <c r="O192" s="294">
        <v>0</v>
      </c>
      <c r="P192" s="294">
        <v>0</v>
      </c>
      <c r="Q192" s="294">
        <v>0</v>
      </c>
      <c r="R192" s="294">
        <v>0</v>
      </c>
      <c r="S192" s="294">
        <v>0</v>
      </c>
      <c r="T192" s="209">
        <v>-2616023</v>
      </c>
      <c r="U192" s="209">
        <v>-2616023</v>
      </c>
      <c r="V192" s="294">
        <v>0</v>
      </c>
      <c r="W192" s="209">
        <v>-2616023</v>
      </c>
      <c r="X192" s="209"/>
      <c r="Y192" s="347"/>
      <c r="Z192" s="347"/>
      <c r="AA192" s="347"/>
      <c r="AB192" s="347"/>
    </row>
    <row r="193" spans="2:28" x14ac:dyDescent="0.3">
      <c r="B193" s="214">
        <v>134</v>
      </c>
      <c r="C193" s="207" t="str">
        <f>'Employer Allocations'!A177</f>
        <v>Bowling Green City Schools</v>
      </c>
      <c r="D193" s="294">
        <v>0</v>
      </c>
      <c r="E193" s="209">
        <v>85674089</v>
      </c>
      <c r="F193" s="209">
        <v>85674089</v>
      </c>
      <c r="G193" s="294">
        <v>0</v>
      </c>
      <c r="H193" s="294">
        <v>0</v>
      </c>
      <c r="I193" s="294">
        <v>0</v>
      </c>
      <c r="J193" s="294">
        <v>0</v>
      </c>
      <c r="K193" s="294">
        <v>0</v>
      </c>
      <c r="L193" s="294"/>
      <c r="M193" s="294"/>
      <c r="N193" s="294">
        <v>0</v>
      </c>
      <c r="O193" s="294">
        <v>0</v>
      </c>
      <c r="P193" s="294">
        <v>0</v>
      </c>
      <c r="Q193" s="294">
        <v>0</v>
      </c>
      <c r="R193" s="294">
        <v>0</v>
      </c>
      <c r="S193" s="294">
        <v>0</v>
      </c>
      <c r="T193" s="209">
        <v>-9506283</v>
      </c>
      <c r="U193" s="209">
        <v>-9506283</v>
      </c>
      <c r="V193" s="294">
        <v>0</v>
      </c>
      <c r="W193" s="209">
        <v>-9506283</v>
      </c>
      <c r="X193" s="209"/>
      <c r="Y193" s="347"/>
      <c r="Z193" s="347"/>
      <c r="AA193" s="347"/>
      <c r="AB193" s="347"/>
    </row>
    <row r="194" spans="2:28" x14ac:dyDescent="0.3">
      <c r="B194" s="214">
        <v>136</v>
      </c>
      <c r="C194" s="207" t="str">
        <f>'Employer Allocations'!A178</f>
        <v>Burgin City Schools</v>
      </c>
      <c r="D194" s="294">
        <v>0</v>
      </c>
      <c r="E194" s="209">
        <v>10530860</v>
      </c>
      <c r="F194" s="209">
        <v>10530860</v>
      </c>
      <c r="G194" s="294">
        <v>0</v>
      </c>
      <c r="H194" s="294">
        <v>0</v>
      </c>
      <c r="I194" s="294">
        <v>0</v>
      </c>
      <c r="J194" s="294">
        <v>0</v>
      </c>
      <c r="K194" s="294">
        <v>0</v>
      </c>
      <c r="L194" s="294"/>
      <c r="M194" s="294"/>
      <c r="N194" s="294">
        <v>0</v>
      </c>
      <c r="O194" s="294">
        <v>0</v>
      </c>
      <c r="P194" s="294">
        <v>0</v>
      </c>
      <c r="Q194" s="294">
        <v>0</v>
      </c>
      <c r="R194" s="294">
        <v>0</v>
      </c>
      <c r="S194" s="294">
        <v>0</v>
      </c>
      <c r="T194" s="209">
        <v>-1168490</v>
      </c>
      <c r="U194" s="209">
        <v>-1168490</v>
      </c>
      <c r="V194" s="294">
        <v>0</v>
      </c>
      <c r="W194" s="209">
        <v>-1168490</v>
      </c>
      <c r="X194" s="209"/>
      <c r="Y194" s="347"/>
      <c r="Z194" s="347"/>
      <c r="AA194" s="347"/>
      <c r="AB194" s="347"/>
    </row>
    <row r="195" spans="2:28" x14ac:dyDescent="0.3">
      <c r="B195" s="214">
        <v>140</v>
      </c>
      <c r="C195" s="207" t="str">
        <f>'Employer Allocations'!A179</f>
        <v>Campbellsville City Schools</v>
      </c>
      <c r="D195" s="294">
        <v>0</v>
      </c>
      <c r="E195" s="209">
        <v>24344864</v>
      </c>
      <c r="F195" s="209">
        <v>24344864</v>
      </c>
      <c r="G195" s="294">
        <v>0</v>
      </c>
      <c r="H195" s="294">
        <v>0</v>
      </c>
      <c r="I195" s="294">
        <v>0</v>
      </c>
      <c r="J195" s="294">
        <v>0</v>
      </c>
      <c r="K195" s="294">
        <v>0</v>
      </c>
      <c r="L195" s="294"/>
      <c r="M195" s="294"/>
      <c r="N195" s="294">
        <v>0</v>
      </c>
      <c r="O195" s="294">
        <v>0</v>
      </c>
      <c r="P195" s="294">
        <v>0</v>
      </c>
      <c r="Q195" s="294">
        <v>0</v>
      </c>
      <c r="R195" s="294">
        <v>0</v>
      </c>
      <c r="S195" s="294">
        <v>0</v>
      </c>
      <c r="T195" s="209">
        <v>-2701274</v>
      </c>
      <c r="U195" s="209">
        <v>-2701274</v>
      </c>
      <c r="V195" s="294">
        <v>0</v>
      </c>
      <c r="W195" s="209">
        <v>-2701274</v>
      </c>
      <c r="X195" s="209"/>
      <c r="Y195" s="347"/>
      <c r="Z195" s="347"/>
      <c r="AA195" s="347"/>
      <c r="AB195" s="347"/>
    </row>
    <row r="196" spans="2:28" x14ac:dyDescent="0.3">
      <c r="B196" s="214">
        <v>144</v>
      </c>
      <c r="C196" s="207" t="str">
        <f>'Employer Allocations'!A180</f>
        <v>Caverna City Schools</v>
      </c>
      <c r="D196" s="294">
        <v>0</v>
      </c>
      <c r="E196" s="209">
        <v>14689744</v>
      </c>
      <c r="F196" s="209">
        <v>14689744</v>
      </c>
      <c r="G196" s="294">
        <v>0</v>
      </c>
      <c r="H196" s="294">
        <v>0</v>
      </c>
      <c r="I196" s="294">
        <v>0</v>
      </c>
      <c r="J196" s="294">
        <v>0</v>
      </c>
      <c r="K196" s="294">
        <v>0</v>
      </c>
      <c r="L196" s="294"/>
      <c r="M196" s="294"/>
      <c r="N196" s="294">
        <v>0</v>
      </c>
      <c r="O196" s="294">
        <v>0</v>
      </c>
      <c r="P196" s="294">
        <v>0</v>
      </c>
      <c r="Q196" s="294">
        <v>0</v>
      </c>
      <c r="R196" s="294">
        <v>0</v>
      </c>
      <c r="S196" s="294">
        <v>0</v>
      </c>
      <c r="T196" s="209">
        <v>-1629954</v>
      </c>
      <c r="U196" s="209">
        <v>-1629954</v>
      </c>
      <c r="V196" s="294">
        <v>0</v>
      </c>
      <c r="W196" s="209">
        <v>-1629954</v>
      </c>
      <c r="X196" s="209"/>
      <c r="Y196" s="347"/>
      <c r="Z196" s="347"/>
      <c r="AA196" s="347"/>
      <c r="AB196" s="347"/>
    </row>
    <row r="197" spans="2:28" x14ac:dyDescent="0.3">
      <c r="B197" s="214">
        <v>147</v>
      </c>
      <c r="C197" s="207" t="str">
        <f>'Employer Allocations'!A181</f>
        <v>Cloverport City Schools</v>
      </c>
      <c r="D197" s="294">
        <v>0</v>
      </c>
      <c r="E197" s="209">
        <v>6680945</v>
      </c>
      <c r="F197" s="209">
        <v>6680945</v>
      </c>
      <c r="G197" s="294">
        <v>0</v>
      </c>
      <c r="H197" s="294">
        <v>0</v>
      </c>
      <c r="I197" s="294">
        <v>0</v>
      </c>
      <c r="J197" s="294">
        <v>0</v>
      </c>
      <c r="K197" s="294">
        <v>0</v>
      </c>
      <c r="L197" s="294"/>
      <c r="M197" s="294"/>
      <c r="N197" s="294">
        <v>0</v>
      </c>
      <c r="O197" s="294">
        <v>0</v>
      </c>
      <c r="P197" s="294">
        <v>0</v>
      </c>
      <c r="Q197" s="294">
        <v>0</v>
      </c>
      <c r="R197" s="294">
        <v>0</v>
      </c>
      <c r="S197" s="294">
        <v>0</v>
      </c>
      <c r="T197" s="209">
        <v>-741309</v>
      </c>
      <c r="U197" s="209">
        <v>-741309</v>
      </c>
      <c r="V197" s="294">
        <v>0</v>
      </c>
      <c r="W197" s="209">
        <v>-741309</v>
      </c>
      <c r="X197" s="209"/>
      <c r="Y197" s="347"/>
      <c r="Z197" s="347"/>
      <c r="AA197" s="347"/>
      <c r="AB197" s="347"/>
    </row>
    <row r="198" spans="2:28" x14ac:dyDescent="0.3">
      <c r="B198" s="214">
        <v>150</v>
      </c>
      <c r="C198" s="207" t="str">
        <f>'Employer Allocations'!A182</f>
        <v>Corbin City Schools</v>
      </c>
      <c r="D198" s="294">
        <v>0</v>
      </c>
      <c r="E198" s="209">
        <v>54725948</v>
      </c>
      <c r="F198" s="209">
        <v>54725948</v>
      </c>
      <c r="G198" s="294">
        <v>0</v>
      </c>
      <c r="H198" s="294">
        <v>0</v>
      </c>
      <c r="I198" s="294">
        <v>0</v>
      </c>
      <c r="J198" s="294">
        <v>0</v>
      </c>
      <c r="K198" s="294">
        <v>0</v>
      </c>
      <c r="L198" s="294"/>
      <c r="M198" s="294"/>
      <c r="N198" s="294">
        <v>0</v>
      </c>
      <c r="O198" s="294">
        <v>0</v>
      </c>
      <c r="P198" s="294">
        <v>0</v>
      </c>
      <c r="Q198" s="294">
        <v>0</v>
      </c>
      <c r="R198" s="294">
        <v>0</v>
      </c>
      <c r="S198" s="294">
        <v>0</v>
      </c>
      <c r="T198" s="209">
        <v>-6072318</v>
      </c>
      <c r="U198" s="209">
        <v>-6072318</v>
      </c>
      <c r="V198" s="294">
        <v>0</v>
      </c>
      <c r="W198" s="209">
        <v>-6072318</v>
      </c>
      <c r="X198" s="209"/>
      <c r="Y198" s="347"/>
      <c r="Z198" s="347"/>
      <c r="AA198" s="347"/>
      <c r="AB198" s="347"/>
    </row>
    <row r="199" spans="2:28" x14ac:dyDescent="0.3">
      <c r="B199" s="214">
        <v>151</v>
      </c>
      <c r="C199" s="207" t="str">
        <f>'Employer Allocations'!A183</f>
        <v>Covington City Schools</v>
      </c>
      <c r="D199" s="294">
        <v>0</v>
      </c>
      <c r="E199" s="209">
        <v>92257808</v>
      </c>
      <c r="F199" s="209">
        <v>92257808</v>
      </c>
      <c r="G199" s="294">
        <v>0</v>
      </c>
      <c r="H199" s="294">
        <v>0</v>
      </c>
      <c r="I199" s="294">
        <v>0</v>
      </c>
      <c r="J199" s="294">
        <v>0</v>
      </c>
      <c r="K199" s="294">
        <v>0</v>
      </c>
      <c r="L199" s="294"/>
      <c r="M199" s="294"/>
      <c r="N199" s="294">
        <v>0</v>
      </c>
      <c r="O199" s="294">
        <v>0</v>
      </c>
      <c r="P199" s="294">
        <v>0</v>
      </c>
      <c r="Q199" s="294">
        <v>0</v>
      </c>
      <c r="R199" s="294">
        <v>0</v>
      </c>
      <c r="S199" s="294">
        <v>0</v>
      </c>
      <c r="T199" s="209">
        <v>-10236803</v>
      </c>
      <c r="U199" s="209">
        <v>-10236803</v>
      </c>
      <c r="V199" s="294">
        <v>0</v>
      </c>
      <c r="W199" s="209">
        <v>-10236803</v>
      </c>
      <c r="X199" s="209"/>
      <c r="Y199" s="347"/>
      <c r="Z199" s="347"/>
      <c r="AA199" s="347"/>
      <c r="AB199" s="347"/>
    </row>
    <row r="200" spans="2:28" x14ac:dyDescent="0.3">
      <c r="B200" s="214">
        <v>154</v>
      </c>
      <c r="C200" s="207" t="str">
        <f>'Employer Allocations'!A184</f>
        <v>Danville City Schools</v>
      </c>
      <c r="D200" s="294">
        <v>0</v>
      </c>
      <c r="E200" s="209">
        <v>50104178</v>
      </c>
      <c r="F200" s="209">
        <v>50104178</v>
      </c>
      <c r="G200" s="294">
        <v>0</v>
      </c>
      <c r="H200" s="294">
        <v>0</v>
      </c>
      <c r="I200" s="294">
        <v>0</v>
      </c>
      <c r="J200" s="294">
        <v>0</v>
      </c>
      <c r="K200" s="294">
        <v>0</v>
      </c>
      <c r="L200" s="294"/>
      <c r="M200" s="294"/>
      <c r="N200" s="294">
        <v>0</v>
      </c>
      <c r="O200" s="294">
        <v>0</v>
      </c>
      <c r="P200" s="294">
        <v>0</v>
      </c>
      <c r="Q200" s="294">
        <v>0</v>
      </c>
      <c r="R200" s="294">
        <v>0</v>
      </c>
      <c r="S200" s="294">
        <v>0</v>
      </c>
      <c r="T200" s="209">
        <v>-5559493</v>
      </c>
      <c r="U200" s="209">
        <v>-5559493</v>
      </c>
      <c r="V200" s="294">
        <v>0</v>
      </c>
      <c r="W200" s="209">
        <v>-5559493</v>
      </c>
      <c r="X200" s="209"/>
      <c r="Y200" s="347"/>
      <c r="Z200" s="347"/>
      <c r="AA200" s="347"/>
      <c r="AB200" s="347"/>
    </row>
    <row r="201" spans="2:28" x14ac:dyDescent="0.3">
      <c r="B201" s="214">
        <v>155</v>
      </c>
      <c r="C201" s="207" t="str">
        <f>'Employer Allocations'!A185</f>
        <v>Dawson Springs City Schools</v>
      </c>
      <c r="D201" s="294">
        <v>0</v>
      </c>
      <c r="E201" s="209">
        <v>11843125</v>
      </c>
      <c r="F201" s="209">
        <v>11843125</v>
      </c>
      <c r="G201" s="294">
        <v>0</v>
      </c>
      <c r="H201" s="294">
        <v>0</v>
      </c>
      <c r="I201" s="294">
        <v>0</v>
      </c>
      <c r="J201" s="294">
        <v>0</v>
      </c>
      <c r="K201" s="294">
        <v>0</v>
      </c>
      <c r="L201" s="294"/>
      <c r="M201" s="294"/>
      <c r="N201" s="294">
        <v>0</v>
      </c>
      <c r="O201" s="294">
        <v>0</v>
      </c>
      <c r="P201" s="294">
        <v>0</v>
      </c>
      <c r="Q201" s="294">
        <v>0</v>
      </c>
      <c r="R201" s="294">
        <v>0</v>
      </c>
      <c r="S201" s="294">
        <v>0</v>
      </c>
      <c r="T201" s="209">
        <v>-1314097</v>
      </c>
      <c r="U201" s="209">
        <v>-1314097</v>
      </c>
      <c r="V201" s="294">
        <v>0</v>
      </c>
      <c r="W201" s="209">
        <v>-1314097</v>
      </c>
      <c r="X201" s="209"/>
      <c r="Y201" s="347"/>
      <c r="Z201" s="347"/>
      <c r="AA201" s="347"/>
      <c r="AB201" s="347"/>
    </row>
    <row r="202" spans="2:28" x14ac:dyDescent="0.3">
      <c r="B202" s="214">
        <v>156</v>
      </c>
      <c r="C202" s="207" t="str">
        <f>'Employer Allocations'!A186</f>
        <v>Dayton City Schools</v>
      </c>
      <c r="D202" s="294">
        <v>0</v>
      </c>
      <c r="E202" s="209">
        <v>19635506</v>
      </c>
      <c r="F202" s="209">
        <v>19635506</v>
      </c>
      <c r="G202" s="294">
        <v>0</v>
      </c>
      <c r="H202" s="294">
        <v>0</v>
      </c>
      <c r="I202" s="294">
        <v>0</v>
      </c>
      <c r="J202" s="294">
        <v>0</v>
      </c>
      <c r="K202" s="294">
        <v>0</v>
      </c>
      <c r="L202" s="294"/>
      <c r="M202" s="294"/>
      <c r="N202" s="294">
        <v>0</v>
      </c>
      <c r="O202" s="294">
        <v>0</v>
      </c>
      <c r="P202" s="294">
        <v>0</v>
      </c>
      <c r="Q202" s="294">
        <v>0</v>
      </c>
      <c r="R202" s="294">
        <v>0</v>
      </c>
      <c r="S202" s="294">
        <v>0</v>
      </c>
      <c r="T202" s="209">
        <v>-2178730</v>
      </c>
      <c r="U202" s="209">
        <v>-2178730</v>
      </c>
      <c r="V202" s="294">
        <v>0</v>
      </c>
      <c r="W202" s="209">
        <v>-2178730</v>
      </c>
      <c r="X202" s="209"/>
      <c r="Y202" s="347"/>
      <c r="Z202" s="347"/>
      <c r="AA202" s="347"/>
      <c r="AB202" s="347"/>
    </row>
    <row r="203" spans="2:28" x14ac:dyDescent="0.3">
      <c r="B203" s="214">
        <v>158</v>
      </c>
      <c r="C203" s="207" t="str">
        <f>'Employer Allocations'!A187</f>
        <v>East Bernstadt City Schools</v>
      </c>
      <c r="D203" s="294">
        <v>0</v>
      </c>
      <c r="E203" s="209">
        <v>9259413</v>
      </c>
      <c r="F203" s="209">
        <v>9259413</v>
      </c>
      <c r="G203" s="294">
        <v>0</v>
      </c>
      <c r="H203" s="294">
        <v>0</v>
      </c>
      <c r="I203" s="294">
        <v>0</v>
      </c>
      <c r="J203" s="294">
        <v>0</v>
      </c>
      <c r="K203" s="294">
        <v>0</v>
      </c>
      <c r="L203" s="294"/>
      <c r="M203" s="294"/>
      <c r="N203" s="294">
        <v>0</v>
      </c>
      <c r="O203" s="294">
        <v>0</v>
      </c>
      <c r="P203" s="294">
        <v>0</v>
      </c>
      <c r="Q203" s="294">
        <v>0</v>
      </c>
      <c r="R203" s="294">
        <v>0</v>
      </c>
      <c r="S203" s="294">
        <v>0</v>
      </c>
      <c r="T203" s="209">
        <v>-1027412</v>
      </c>
      <c r="U203" s="209">
        <v>-1027412</v>
      </c>
      <c r="V203" s="294">
        <v>0</v>
      </c>
      <c r="W203" s="209">
        <v>-1027412</v>
      </c>
      <c r="X203" s="209"/>
      <c r="Y203" s="347"/>
      <c r="Z203" s="347"/>
      <c r="AA203" s="347"/>
      <c r="AB203" s="347"/>
    </row>
    <row r="204" spans="2:28" x14ac:dyDescent="0.3">
      <c r="B204" s="214">
        <v>160</v>
      </c>
      <c r="C204" s="207" t="str">
        <f>'Employer Allocations'!A188</f>
        <v>Elizabethtown City Schools</v>
      </c>
      <c r="D204" s="294">
        <v>0</v>
      </c>
      <c r="E204" s="209">
        <v>50207357</v>
      </c>
      <c r="F204" s="209">
        <v>50207357</v>
      </c>
      <c r="G204" s="294">
        <v>0</v>
      </c>
      <c r="H204" s="294">
        <v>0</v>
      </c>
      <c r="I204" s="294">
        <v>0</v>
      </c>
      <c r="J204" s="294">
        <v>0</v>
      </c>
      <c r="K204" s="294">
        <v>0</v>
      </c>
      <c r="L204" s="294"/>
      <c r="M204" s="294"/>
      <c r="N204" s="294">
        <v>0</v>
      </c>
      <c r="O204" s="294">
        <v>0</v>
      </c>
      <c r="P204" s="294">
        <v>0</v>
      </c>
      <c r="Q204" s="294">
        <v>0</v>
      </c>
      <c r="R204" s="294">
        <v>0</v>
      </c>
      <c r="S204" s="294">
        <v>0</v>
      </c>
      <c r="T204" s="209">
        <v>-5570941</v>
      </c>
      <c r="U204" s="209">
        <v>-5570941</v>
      </c>
      <c r="V204" s="294">
        <v>0</v>
      </c>
      <c r="W204" s="209">
        <v>-5570941</v>
      </c>
      <c r="X204" s="209"/>
      <c r="Y204" s="347"/>
      <c r="Z204" s="347"/>
      <c r="AA204" s="347"/>
      <c r="AB204" s="347"/>
    </row>
    <row r="205" spans="2:28" x14ac:dyDescent="0.3">
      <c r="B205" s="214">
        <v>161</v>
      </c>
      <c r="C205" s="207" t="str">
        <f>'Employer Allocations'!A189</f>
        <v>Eminence Independent Schools</v>
      </c>
      <c r="D205" s="294">
        <v>0</v>
      </c>
      <c r="E205" s="209">
        <v>17909251</v>
      </c>
      <c r="F205" s="209">
        <v>17909251</v>
      </c>
      <c r="G205" s="294">
        <v>0</v>
      </c>
      <c r="H205" s="294">
        <v>0</v>
      </c>
      <c r="I205" s="294">
        <v>0</v>
      </c>
      <c r="J205" s="294">
        <v>0</v>
      </c>
      <c r="K205" s="294">
        <v>0</v>
      </c>
      <c r="L205" s="294"/>
      <c r="M205" s="294"/>
      <c r="N205" s="294">
        <v>0</v>
      </c>
      <c r="O205" s="294">
        <v>0</v>
      </c>
      <c r="P205" s="294">
        <v>0</v>
      </c>
      <c r="Q205" s="294">
        <v>0</v>
      </c>
      <c r="R205" s="294">
        <v>0</v>
      </c>
      <c r="S205" s="294">
        <v>0</v>
      </c>
      <c r="T205" s="209">
        <v>-1987187</v>
      </c>
      <c r="U205" s="209">
        <v>-1987187</v>
      </c>
      <c r="V205" s="294">
        <v>0</v>
      </c>
      <c r="W205" s="209">
        <v>-1987187</v>
      </c>
      <c r="X205" s="209"/>
      <c r="Y205" s="347"/>
      <c r="Z205" s="347"/>
      <c r="AA205" s="347"/>
      <c r="AB205" s="347"/>
    </row>
    <row r="206" spans="2:28" x14ac:dyDescent="0.3">
      <c r="B206" s="214">
        <v>162</v>
      </c>
      <c r="C206" s="207" t="str">
        <f>'Employer Allocations'!A190</f>
        <v>Erlanger-Elsmere City Schools</v>
      </c>
      <c r="D206" s="294">
        <v>0</v>
      </c>
      <c r="E206" s="209">
        <v>50641472</v>
      </c>
      <c r="F206" s="209">
        <v>50641472</v>
      </c>
      <c r="G206" s="294">
        <v>0</v>
      </c>
      <c r="H206" s="294">
        <v>0</v>
      </c>
      <c r="I206" s="294">
        <v>0</v>
      </c>
      <c r="J206" s="294">
        <v>0</v>
      </c>
      <c r="K206" s="294">
        <v>0</v>
      </c>
      <c r="L206" s="294"/>
      <c r="M206" s="294"/>
      <c r="N206" s="294">
        <v>0</v>
      </c>
      <c r="O206" s="294">
        <v>0</v>
      </c>
      <c r="P206" s="294">
        <v>0</v>
      </c>
      <c r="Q206" s="294">
        <v>0</v>
      </c>
      <c r="R206" s="294">
        <v>0</v>
      </c>
      <c r="S206" s="294">
        <v>0</v>
      </c>
      <c r="T206" s="209">
        <v>-5619110</v>
      </c>
      <c r="U206" s="209">
        <v>-5619110</v>
      </c>
      <c r="V206" s="294">
        <v>0</v>
      </c>
      <c r="W206" s="209">
        <v>-5619110</v>
      </c>
      <c r="X206" s="209"/>
      <c r="Y206" s="347"/>
      <c r="Z206" s="347"/>
      <c r="AA206" s="347"/>
      <c r="AB206" s="347"/>
    </row>
    <row r="207" spans="2:28" x14ac:dyDescent="0.3">
      <c r="B207" s="214">
        <v>163</v>
      </c>
      <c r="C207" s="207" t="str">
        <f>'Employer Allocations'!A191</f>
        <v>Fairview Independent Schools</v>
      </c>
      <c r="D207" s="294">
        <v>0</v>
      </c>
      <c r="E207" s="209">
        <v>11294069</v>
      </c>
      <c r="F207" s="209">
        <v>11294069</v>
      </c>
      <c r="G207" s="294">
        <v>0</v>
      </c>
      <c r="H207" s="294">
        <v>0</v>
      </c>
      <c r="I207" s="294">
        <v>0</v>
      </c>
      <c r="J207" s="294">
        <v>0</v>
      </c>
      <c r="K207" s="294">
        <v>0</v>
      </c>
      <c r="L207" s="294"/>
      <c r="M207" s="294"/>
      <c r="N207" s="294">
        <v>0</v>
      </c>
      <c r="O207" s="294">
        <v>0</v>
      </c>
      <c r="P207" s="294">
        <v>0</v>
      </c>
      <c r="Q207" s="294">
        <v>0</v>
      </c>
      <c r="R207" s="294">
        <v>0</v>
      </c>
      <c r="S207" s="294">
        <v>0</v>
      </c>
      <c r="T207" s="209">
        <v>-1253175</v>
      </c>
      <c r="U207" s="209">
        <v>-1253175</v>
      </c>
      <c r="V207" s="294">
        <v>0</v>
      </c>
      <c r="W207" s="209">
        <v>-1253175</v>
      </c>
      <c r="X207" s="209"/>
      <c r="Y207" s="347"/>
      <c r="Z207" s="347"/>
      <c r="AA207" s="347"/>
      <c r="AB207" s="347"/>
    </row>
    <row r="208" spans="2:28" x14ac:dyDescent="0.3">
      <c r="B208" s="214">
        <v>166</v>
      </c>
      <c r="C208" s="207" t="str">
        <f>'Employer Allocations'!A192</f>
        <v>Fort Thomas Independent Schools</v>
      </c>
      <c r="D208" s="294">
        <v>0</v>
      </c>
      <c r="E208" s="209">
        <v>67970628</v>
      </c>
      <c r="F208" s="209">
        <v>67970628</v>
      </c>
      <c r="G208" s="294">
        <v>0</v>
      </c>
      <c r="H208" s="294">
        <v>0</v>
      </c>
      <c r="I208" s="294">
        <v>0</v>
      </c>
      <c r="J208" s="294">
        <v>0</v>
      </c>
      <c r="K208" s="294">
        <v>0</v>
      </c>
      <c r="L208" s="294"/>
      <c r="M208" s="294"/>
      <c r="N208" s="294">
        <v>0</v>
      </c>
      <c r="O208" s="294">
        <v>0</v>
      </c>
      <c r="P208" s="294">
        <v>0</v>
      </c>
      <c r="Q208" s="294">
        <v>0</v>
      </c>
      <c r="R208" s="294">
        <v>0</v>
      </c>
      <c r="S208" s="294">
        <v>0</v>
      </c>
      <c r="T208" s="209">
        <v>-7541930</v>
      </c>
      <c r="U208" s="209">
        <v>-7541930</v>
      </c>
      <c r="V208" s="294">
        <v>0</v>
      </c>
      <c r="W208" s="209">
        <v>-7541930</v>
      </c>
      <c r="X208" s="209"/>
      <c r="Y208" s="347"/>
      <c r="Z208" s="347"/>
      <c r="AA208" s="347"/>
      <c r="AB208" s="347"/>
    </row>
    <row r="209" spans="2:28" x14ac:dyDescent="0.3">
      <c r="B209" s="214">
        <v>167</v>
      </c>
      <c r="C209" s="207" t="str">
        <f>'Employer Allocations'!A193</f>
        <v>Frankfort City Schools</v>
      </c>
      <c r="D209" s="294">
        <v>0</v>
      </c>
      <c r="E209" s="209">
        <v>19941639</v>
      </c>
      <c r="F209" s="209">
        <v>19941639</v>
      </c>
      <c r="G209" s="294">
        <v>0</v>
      </c>
      <c r="H209" s="294">
        <v>0</v>
      </c>
      <c r="I209" s="294">
        <v>0</v>
      </c>
      <c r="J209" s="294">
        <v>0</v>
      </c>
      <c r="K209" s="294">
        <v>0</v>
      </c>
      <c r="L209" s="294"/>
      <c r="M209" s="294"/>
      <c r="N209" s="294">
        <v>0</v>
      </c>
      <c r="O209" s="294">
        <v>0</v>
      </c>
      <c r="P209" s="294">
        <v>0</v>
      </c>
      <c r="Q209" s="294">
        <v>0</v>
      </c>
      <c r="R209" s="294">
        <v>0</v>
      </c>
      <c r="S209" s="294">
        <v>0</v>
      </c>
      <c r="T209" s="209">
        <v>-2212698</v>
      </c>
      <c r="U209" s="209">
        <v>-2212698</v>
      </c>
      <c r="V209" s="294">
        <v>0</v>
      </c>
      <c r="W209" s="209">
        <v>-2212698</v>
      </c>
      <c r="X209" s="209"/>
      <c r="Y209" s="347"/>
      <c r="Z209" s="347"/>
      <c r="AA209" s="347"/>
      <c r="AB209" s="347"/>
    </row>
    <row r="210" spans="2:28" x14ac:dyDescent="0.3">
      <c r="B210" s="214">
        <v>170</v>
      </c>
      <c r="C210" s="207" t="str">
        <f>'Employer Allocations'!A194</f>
        <v>Fulton City Schools</v>
      </c>
      <c r="D210" s="294">
        <v>0</v>
      </c>
      <c r="E210" s="209">
        <v>7386186</v>
      </c>
      <c r="F210" s="209">
        <v>7386186</v>
      </c>
      <c r="G210" s="294">
        <v>0</v>
      </c>
      <c r="H210" s="294">
        <v>0</v>
      </c>
      <c r="I210" s="294">
        <v>0</v>
      </c>
      <c r="J210" s="294">
        <v>0</v>
      </c>
      <c r="K210" s="294">
        <v>0</v>
      </c>
      <c r="L210" s="294"/>
      <c r="M210" s="294"/>
      <c r="N210" s="294">
        <v>0</v>
      </c>
      <c r="O210" s="294">
        <v>0</v>
      </c>
      <c r="P210" s="294">
        <v>0</v>
      </c>
      <c r="Q210" s="294">
        <v>0</v>
      </c>
      <c r="R210" s="294">
        <v>0</v>
      </c>
      <c r="S210" s="294">
        <v>0</v>
      </c>
      <c r="T210" s="209">
        <v>-819561</v>
      </c>
      <c r="U210" s="209">
        <v>-819561</v>
      </c>
      <c r="V210" s="294">
        <v>0</v>
      </c>
      <c r="W210" s="209">
        <v>-819561</v>
      </c>
      <c r="X210" s="209"/>
      <c r="Y210" s="347"/>
      <c r="Z210" s="347"/>
      <c r="AA210" s="347"/>
      <c r="AB210" s="347"/>
    </row>
    <row r="211" spans="2:28" x14ac:dyDescent="0.3">
      <c r="B211" s="214">
        <v>173</v>
      </c>
      <c r="C211" s="207" t="str">
        <f>'Employer Allocations'!A195</f>
        <v>Glasgow City Schools</v>
      </c>
      <c r="D211" s="294">
        <v>0</v>
      </c>
      <c r="E211" s="209">
        <v>45673742</v>
      </c>
      <c r="F211" s="209">
        <v>45673742</v>
      </c>
      <c r="G211" s="294">
        <v>0</v>
      </c>
      <c r="H211" s="294">
        <v>0</v>
      </c>
      <c r="I211" s="294">
        <v>0</v>
      </c>
      <c r="J211" s="294">
        <v>0</v>
      </c>
      <c r="K211" s="294">
        <v>0</v>
      </c>
      <c r="L211" s="294"/>
      <c r="M211" s="294"/>
      <c r="N211" s="294">
        <v>0</v>
      </c>
      <c r="O211" s="294">
        <v>0</v>
      </c>
      <c r="P211" s="294">
        <v>0</v>
      </c>
      <c r="Q211" s="294">
        <v>0</v>
      </c>
      <c r="R211" s="294">
        <v>0</v>
      </c>
      <c r="S211" s="294">
        <v>0</v>
      </c>
      <c r="T211" s="209">
        <v>-5067898</v>
      </c>
      <c r="U211" s="209">
        <v>-5067898</v>
      </c>
      <c r="V211" s="294">
        <v>0</v>
      </c>
      <c r="W211" s="209">
        <v>-5067898</v>
      </c>
      <c r="X211" s="209"/>
      <c r="Y211" s="347"/>
      <c r="Z211" s="347"/>
      <c r="AA211" s="347"/>
      <c r="AB211" s="347"/>
    </row>
    <row r="212" spans="2:28" x14ac:dyDescent="0.3">
      <c r="B212" s="214">
        <v>180</v>
      </c>
      <c r="C212" s="207" t="str">
        <f>'Employer Allocations'!A196</f>
        <v>Harlan City Schools</v>
      </c>
      <c r="D212" s="294">
        <v>0</v>
      </c>
      <c r="E212" s="209">
        <v>12701434</v>
      </c>
      <c r="F212" s="209">
        <v>12701434</v>
      </c>
      <c r="G212" s="294">
        <v>0</v>
      </c>
      <c r="H212" s="294">
        <v>0</v>
      </c>
      <c r="I212" s="294">
        <v>0</v>
      </c>
      <c r="J212" s="294">
        <v>0</v>
      </c>
      <c r="K212" s="294">
        <v>0</v>
      </c>
      <c r="L212" s="294"/>
      <c r="M212" s="294"/>
      <c r="N212" s="294">
        <v>0</v>
      </c>
      <c r="O212" s="294">
        <v>0</v>
      </c>
      <c r="P212" s="294">
        <v>0</v>
      </c>
      <c r="Q212" s="294">
        <v>0</v>
      </c>
      <c r="R212" s="294">
        <v>0</v>
      </c>
      <c r="S212" s="294">
        <v>0</v>
      </c>
      <c r="T212" s="209">
        <v>-1409334</v>
      </c>
      <c r="U212" s="209">
        <v>-1409334</v>
      </c>
      <c r="V212" s="294">
        <v>0</v>
      </c>
      <c r="W212" s="209">
        <v>-1409334</v>
      </c>
      <c r="X212" s="209"/>
      <c r="Y212" s="347"/>
      <c r="Z212" s="347"/>
      <c r="AA212" s="347"/>
      <c r="AB212" s="347"/>
    </row>
    <row r="213" spans="2:28" x14ac:dyDescent="0.3">
      <c r="B213" s="214">
        <v>182</v>
      </c>
      <c r="C213" s="207" t="str">
        <f>'Employer Allocations'!A197</f>
        <v>Hazard Independent Schools</v>
      </c>
      <c r="D213" s="294">
        <v>0</v>
      </c>
      <c r="E213" s="209">
        <v>18904611</v>
      </c>
      <c r="F213" s="209">
        <v>18904611</v>
      </c>
      <c r="G213" s="294">
        <v>0</v>
      </c>
      <c r="H213" s="294">
        <v>0</v>
      </c>
      <c r="I213" s="294">
        <v>0</v>
      </c>
      <c r="J213" s="294">
        <v>0</v>
      </c>
      <c r="K213" s="294">
        <v>0</v>
      </c>
      <c r="L213" s="294"/>
      <c r="M213" s="294"/>
      <c r="N213" s="294">
        <v>0</v>
      </c>
      <c r="O213" s="294">
        <v>0</v>
      </c>
      <c r="P213" s="294">
        <v>0</v>
      </c>
      <c r="Q213" s="294">
        <v>0</v>
      </c>
      <c r="R213" s="294">
        <v>0</v>
      </c>
      <c r="S213" s="294">
        <v>0</v>
      </c>
      <c r="T213" s="209">
        <v>-2097630</v>
      </c>
      <c r="U213" s="209">
        <v>-2097630</v>
      </c>
      <c r="V213" s="294">
        <v>0</v>
      </c>
      <c r="W213" s="209">
        <v>-2097630</v>
      </c>
      <c r="X213" s="209"/>
      <c r="Y213" s="347"/>
      <c r="Z213" s="347"/>
      <c r="AA213" s="347"/>
      <c r="AB213" s="347"/>
    </row>
    <row r="214" spans="2:28" x14ac:dyDescent="0.3">
      <c r="B214" s="214">
        <v>190</v>
      </c>
      <c r="C214" s="207" t="str">
        <f>'Employer Allocations'!A198</f>
        <v>Jackson City Schools</v>
      </c>
      <c r="D214" s="294">
        <v>0</v>
      </c>
      <c r="E214" s="209">
        <v>4883117</v>
      </c>
      <c r="F214" s="209">
        <v>4883117</v>
      </c>
      <c r="G214" s="294">
        <v>0</v>
      </c>
      <c r="H214" s="294">
        <v>0</v>
      </c>
      <c r="I214" s="294">
        <v>0</v>
      </c>
      <c r="J214" s="294">
        <v>0</v>
      </c>
      <c r="K214" s="294">
        <v>0</v>
      </c>
      <c r="L214" s="294"/>
      <c r="M214" s="294"/>
      <c r="N214" s="294">
        <v>0</v>
      </c>
      <c r="O214" s="294">
        <v>0</v>
      </c>
      <c r="P214" s="294">
        <v>0</v>
      </c>
      <c r="Q214" s="294">
        <v>0</v>
      </c>
      <c r="R214" s="294">
        <v>0</v>
      </c>
      <c r="S214" s="294">
        <v>0</v>
      </c>
      <c r="T214" s="209">
        <v>-541824</v>
      </c>
      <c r="U214" s="209">
        <v>-541824</v>
      </c>
      <c r="V214" s="294">
        <v>0</v>
      </c>
      <c r="W214" s="209">
        <v>-541824</v>
      </c>
      <c r="X214" s="209"/>
      <c r="Y214" s="347"/>
      <c r="Z214" s="347"/>
      <c r="AA214" s="347"/>
      <c r="AB214" s="347"/>
    </row>
    <row r="215" spans="2:28" x14ac:dyDescent="0.3">
      <c r="B215" s="214">
        <v>191</v>
      </c>
      <c r="C215" s="207" t="str">
        <f>'Employer Allocations'!A199</f>
        <v>Jenkins City Schools</v>
      </c>
      <c r="D215" s="294">
        <v>0</v>
      </c>
      <c r="E215" s="209">
        <v>9307742</v>
      </c>
      <c r="F215" s="209">
        <v>9307742</v>
      </c>
      <c r="G215" s="294">
        <v>0</v>
      </c>
      <c r="H215" s="294">
        <v>0</v>
      </c>
      <c r="I215" s="294">
        <v>0</v>
      </c>
      <c r="J215" s="294">
        <v>0</v>
      </c>
      <c r="K215" s="294">
        <v>0</v>
      </c>
      <c r="L215" s="294"/>
      <c r="M215" s="294"/>
      <c r="N215" s="294">
        <v>0</v>
      </c>
      <c r="O215" s="294">
        <v>0</v>
      </c>
      <c r="P215" s="294">
        <v>0</v>
      </c>
      <c r="Q215" s="294">
        <v>0</v>
      </c>
      <c r="R215" s="294">
        <v>0</v>
      </c>
      <c r="S215" s="294">
        <v>0</v>
      </c>
      <c r="T215" s="209">
        <v>-1032775</v>
      </c>
      <c r="U215" s="209">
        <v>-1032775</v>
      </c>
      <c r="V215" s="294">
        <v>0</v>
      </c>
      <c r="W215" s="209">
        <v>-1032775</v>
      </c>
      <c r="X215" s="209"/>
      <c r="Y215" s="347"/>
      <c r="Z215" s="347"/>
      <c r="AA215" s="347"/>
      <c r="AB215" s="347"/>
    </row>
    <row r="216" spans="2:28" x14ac:dyDescent="0.3">
      <c r="B216" s="214">
        <v>206</v>
      </c>
      <c r="C216" s="207" t="str">
        <f>'Employer Allocations'!A200</f>
        <v>Ludlow City Schools</v>
      </c>
      <c r="D216" s="294">
        <v>0</v>
      </c>
      <c r="E216" s="209">
        <v>18130064</v>
      </c>
      <c r="F216" s="209">
        <v>18130064</v>
      </c>
      <c r="G216" s="294">
        <v>0</v>
      </c>
      <c r="H216" s="294">
        <v>0</v>
      </c>
      <c r="I216" s="294">
        <v>0</v>
      </c>
      <c r="J216" s="294">
        <v>0</v>
      </c>
      <c r="K216" s="294">
        <v>0</v>
      </c>
      <c r="L216" s="294"/>
      <c r="M216" s="294"/>
      <c r="N216" s="294">
        <v>0</v>
      </c>
      <c r="O216" s="294">
        <v>0</v>
      </c>
      <c r="P216" s="294">
        <v>0</v>
      </c>
      <c r="Q216" s="294">
        <v>0</v>
      </c>
      <c r="R216" s="294">
        <v>0</v>
      </c>
      <c r="S216" s="294">
        <v>0</v>
      </c>
      <c r="T216" s="209">
        <v>-2011688</v>
      </c>
      <c r="U216" s="209">
        <v>-2011688</v>
      </c>
      <c r="V216" s="294">
        <v>0</v>
      </c>
      <c r="W216" s="209">
        <v>-2011688</v>
      </c>
      <c r="X216" s="209"/>
      <c r="Y216" s="347"/>
      <c r="Z216" s="347"/>
      <c r="AA216" s="347"/>
      <c r="AB216" s="347"/>
    </row>
    <row r="217" spans="2:28" x14ac:dyDescent="0.3">
      <c r="B217" s="214">
        <v>210</v>
      </c>
      <c r="C217" s="207" t="str">
        <f>'Employer Allocations'!A201</f>
        <v>Mayfield City Schools</v>
      </c>
      <c r="D217" s="294">
        <v>0</v>
      </c>
      <c r="E217" s="209">
        <v>31157616</v>
      </c>
      <c r="F217" s="209">
        <v>31157616</v>
      </c>
      <c r="G217" s="294">
        <v>0</v>
      </c>
      <c r="H217" s="294">
        <v>0</v>
      </c>
      <c r="I217" s="294">
        <v>0</v>
      </c>
      <c r="J217" s="294">
        <v>0</v>
      </c>
      <c r="K217" s="294">
        <v>0</v>
      </c>
      <c r="L217" s="294"/>
      <c r="M217" s="294"/>
      <c r="N217" s="294">
        <v>0</v>
      </c>
      <c r="O217" s="294">
        <v>0</v>
      </c>
      <c r="P217" s="294">
        <v>0</v>
      </c>
      <c r="Q217" s="294">
        <v>0</v>
      </c>
      <c r="R217" s="294">
        <v>0</v>
      </c>
      <c r="S217" s="294">
        <v>0</v>
      </c>
      <c r="T217" s="209">
        <v>-3457207</v>
      </c>
      <c r="U217" s="209">
        <v>-3457207</v>
      </c>
      <c r="V217" s="294">
        <v>0</v>
      </c>
      <c r="W217" s="209">
        <v>-3457207</v>
      </c>
      <c r="X217" s="209"/>
      <c r="Y217" s="347"/>
      <c r="Z217" s="347"/>
      <c r="AA217" s="347"/>
      <c r="AB217" s="347"/>
    </row>
    <row r="218" spans="2:28" x14ac:dyDescent="0.3">
      <c r="B218" s="214">
        <v>214</v>
      </c>
      <c r="C218" s="207" t="str">
        <f>'Employer Allocations'!A202</f>
        <v>Middlesboro City Schools</v>
      </c>
      <c r="D218" s="294">
        <v>0</v>
      </c>
      <c r="E218" s="209">
        <v>21800268</v>
      </c>
      <c r="F218" s="209">
        <v>21800268</v>
      </c>
      <c r="G218" s="294">
        <v>0</v>
      </c>
      <c r="H218" s="294">
        <v>0</v>
      </c>
      <c r="I218" s="294">
        <v>0</v>
      </c>
      <c r="J218" s="294">
        <v>0</v>
      </c>
      <c r="K218" s="294">
        <v>0</v>
      </c>
      <c r="L218" s="294"/>
      <c r="M218" s="294"/>
      <c r="N218" s="294">
        <v>0</v>
      </c>
      <c r="O218" s="294">
        <v>0</v>
      </c>
      <c r="P218" s="294">
        <v>0</v>
      </c>
      <c r="Q218" s="294">
        <v>0</v>
      </c>
      <c r="R218" s="294">
        <v>0</v>
      </c>
      <c r="S218" s="294">
        <v>0</v>
      </c>
      <c r="T218" s="209">
        <v>-2418929</v>
      </c>
      <c r="U218" s="209">
        <v>-2418929</v>
      </c>
      <c r="V218" s="294">
        <v>0</v>
      </c>
      <c r="W218" s="209">
        <v>-2418929</v>
      </c>
      <c r="X218" s="209"/>
      <c r="Y218" s="347"/>
      <c r="Z218" s="347"/>
      <c r="AA218" s="347"/>
      <c r="AB218" s="347"/>
    </row>
    <row r="219" spans="2:28" x14ac:dyDescent="0.3">
      <c r="B219" s="214">
        <v>221</v>
      </c>
      <c r="C219" s="207" t="str">
        <f>'Employer Allocations'!A203</f>
        <v>Murray City Schools</v>
      </c>
      <c r="D219" s="294">
        <v>0</v>
      </c>
      <c r="E219" s="209">
        <v>33989778</v>
      </c>
      <c r="F219" s="209">
        <v>33989778</v>
      </c>
      <c r="G219" s="294">
        <v>0</v>
      </c>
      <c r="H219" s="294">
        <v>0</v>
      </c>
      <c r="I219" s="294">
        <v>0</v>
      </c>
      <c r="J219" s="294">
        <v>0</v>
      </c>
      <c r="K219" s="294">
        <v>0</v>
      </c>
      <c r="L219" s="294"/>
      <c r="M219" s="294"/>
      <c r="N219" s="294">
        <v>0</v>
      </c>
      <c r="O219" s="294">
        <v>0</v>
      </c>
      <c r="P219" s="294">
        <v>0</v>
      </c>
      <c r="Q219" s="294">
        <v>0</v>
      </c>
      <c r="R219" s="294">
        <v>0</v>
      </c>
      <c r="S219" s="294">
        <v>0</v>
      </c>
      <c r="T219" s="209">
        <v>-3771460</v>
      </c>
      <c r="U219" s="209">
        <v>-3771460</v>
      </c>
      <c r="V219" s="294">
        <v>0</v>
      </c>
      <c r="W219" s="209">
        <v>-3771460</v>
      </c>
      <c r="X219" s="209"/>
      <c r="Y219" s="347"/>
      <c r="Z219" s="347"/>
      <c r="AA219" s="347"/>
      <c r="AB219" s="347"/>
    </row>
    <row r="220" spans="2:28" x14ac:dyDescent="0.3">
      <c r="B220" s="214">
        <v>222</v>
      </c>
      <c r="C220" s="207" t="str">
        <f>'Employer Allocations'!A204</f>
        <v>Newport City Schools</v>
      </c>
      <c r="D220" s="294">
        <v>0</v>
      </c>
      <c r="E220" s="209">
        <v>40840230</v>
      </c>
      <c r="F220" s="209">
        <v>40840230</v>
      </c>
      <c r="G220" s="294">
        <v>0</v>
      </c>
      <c r="H220" s="294">
        <v>0</v>
      </c>
      <c r="I220" s="294">
        <v>0</v>
      </c>
      <c r="J220" s="294">
        <v>0</v>
      </c>
      <c r="K220" s="294">
        <v>0</v>
      </c>
      <c r="L220" s="294"/>
      <c r="M220" s="294"/>
      <c r="N220" s="294">
        <v>0</v>
      </c>
      <c r="O220" s="294">
        <v>0</v>
      </c>
      <c r="P220" s="294">
        <v>0</v>
      </c>
      <c r="Q220" s="294">
        <v>0</v>
      </c>
      <c r="R220" s="294">
        <v>0</v>
      </c>
      <c r="S220" s="294">
        <v>0</v>
      </c>
      <c r="T220" s="209">
        <v>-4531577</v>
      </c>
      <c r="U220" s="209">
        <v>-4531577</v>
      </c>
      <c r="V220" s="294">
        <v>0</v>
      </c>
      <c r="W220" s="209">
        <v>-4531577</v>
      </c>
      <c r="X220" s="209"/>
      <c r="Y220" s="347"/>
      <c r="Z220" s="347"/>
      <c r="AA220" s="347"/>
      <c r="AB220" s="347"/>
    </row>
    <row r="221" spans="2:28" x14ac:dyDescent="0.3">
      <c r="B221" s="214">
        <v>224</v>
      </c>
      <c r="C221" s="207" t="str">
        <f>'Employer Allocations'!A205</f>
        <v>Owensboro City Schools</v>
      </c>
      <c r="D221" s="294">
        <v>0</v>
      </c>
      <c r="E221" s="209">
        <v>112065088</v>
      </c>
      <c r="F221" s="209">
        <v>112065088</v>
      </c>
      <c r="G221" s="294">
        <v>0</v>
      </c>
      <c r="H221" s="294">
        <v>0</v>
      </c>
      <c r="I221" s="294">
        <v>0</v>
      </c>
      <c r="J221" s="294">
        <v>0</v>
      </c>
      <c r="K221" s="294">
        <v>0</v>
      </c>
      <c r="L221" s="294"/>
      <c r="M221" s="294"/>
      <c r="N221" s="294">
        <v>0</v>
      </c>
      <c r="O221" s="294">
        <v>0</v>
      </c>
      <c r="P221" s="294">
        <v>0</v>
      </c>
      <c r="Q221" s="294">
        <v>0</v>
      </c>
      <c r="R221" s="294">
        <v>0</v>
      </c>
      <c r="S221" s="294">
        <v>0</v>
      </c>
      <c r="T221" s="209">
        <v>-12434593</v>
      </c>
      <c r="U221" s="209">
        <v>-12434593</v>
      </c>
      <c r="V221" s="294">
        <v>0</v>
      </c>
      <c r="W221" s="209">
        <v>-12434593</v>
      </c>
      <c r="X221" s="209"/>
      <c r="Y221" s="347"/>
      <c r="Z221" s="347"/>
      <c r="AA221" s="347"/>
      <c r="AB221" s="347"/>
    </row>
    <row r="222" spans="2:28" x14ac:dyDescent="0.3">
      <c r="B222" s="214">
        <v>226</v>
      </c>
      <c r="C222" s="207" t="str">
        <f>'Employer Allocations'!A206</f>
        <v>Paducah City Schools</v>
      </c>
      <c r="D222" s="294">
        <v>0</v>
      </c>
      <c r="E222" s="209">
        <v>60297866</v>
      </c>
      <c r="F222" s="209">
        <v>60297866</v>
      </c>
      <c r="G222" s="294">
        <v>0</v>
      </c>
      <c r="H222" s="294">
        <v>0</v>
      </c>
      <c r="I222" s="294">
        <v>0</v>
      </c>
      <c r="J222" s="294">
        <v>0</v>
      </c>
      <c r="K222" s="294">
        <v>0</v>
      </c>
      <c r="L222" s="294"/>
      <c r="M222" s="294"/>
      <c r="N222" s="294">
        <v>0</v>
      </c>
      <c r="O222" s="294">
        <v>0</v>
      </c>
      <c r="P222" s="294">
        <v>0</v>
      </c>
      <c r="Q222" s="294">
        <v>0</v>
      </c>
      <c r="R222" s="294">
        <v>0</v>
      </c>
      <c r="S222" s="294">
        <v>0</v>
      </c>
      <c r="T222" s="209">
        <v>-6690571</v>
      </c>
      <c r="U222" s="209">
        <v>-6690571</v>
      </c>
      <c r="V222" s="294">
        <v>0</v>
      </c>
      <c r="W222" s="209">
        <v>-6690571</v>
      </c>
      <c r="X222" s="209"/>
      <c r="Y222" s="347"/>
      <c r="Z222" s="347"/>
      <c r="AA222" s="347"/>
      <c r="AB222" s="347"/>
    </row>
    <row r="223" spans="2:28" x14ac:dyDescent="0.3">
      <c r="B223" s="214">
        <v>227</v>
      </c>
      <c r="C223" s="207" t="str">
        <f>'Employer Allocations'!A207</f>
        <v>Paintsville City Schools</v>
      </c>
      <c r="D223" s="294">
        <v>0</v>
      </c>
      <c r="E223" s="209">
        <v>16918993</v>
      </c>
      <c r="F223" s="209">
        <v>16918993</v>
      </c>
      <c r="G223" s="294">
        <v>0</v>
      </c>
      <c r="H223" s="294">
        <v>0</v>
      </c>
      <c r="I223" s="294">
        <v>0</v>
      </c>
      <c r="J223" s="294">
        <v>0</v>
      </c>
      <c r="K223" s="294">
        <v>0</v>
      </c>
      <c r="L223" s="294"/>
      <c r="M223" s="294"/>
      <c r="N223" s="294">
        <v>0</v>
      </c>
      <c r="O223" s="294">
        <v>0</v>
      </c>
      <c r="P223" s="294">
        <v>0</v>
      </c>
      <c r="Q223" s="294">
        <v>0</v>
      </c>
      <c r="R223" s="294">
        <v>0</v>
      </c>
      <c r="S223" s="294">
        <v>0</v>
      </c>
      <c r="T223" s="209">
        <v>-1877309</v>
      </c>
      <c r="U223" s="209">
        <v>-1877309</v>
      </c>
      <c r="V223" s="294">
        <v>0</v>
      </c>
      <c r="W223" s="209">
        <v>-1877309</v>
      </c>
      <c r="X223" s="209"/>
      <c r="Y223" s="347"/>
      <c r="Z223" s="347"/>
      <c r="AA223" s="347"/>
      <c r="AB223" s="347"/>
    </row>
    <row r="224" spans="2:28" x14ac:dyDescent="0.3">
      <c r="B224" s="214">
        <v>228</v>
      </c>
      <c r="C224" s="207" t="str">
        <f>'Employer Allocations'!A208</f>
        <v>Paris City Schools</v>
      </c>
      <c r="D224" s="294">
        <v>0</v>
      </c>
      <c r="E224" s="209">
        <v>13137816</v>
      </c>
      <c r="F224" s="209">
        <v>13137816</v>
      </c>
      <c r="G224" s="294">
        <v>0</v>
      </c>
      <c r="H224" s="294">
        <v>0</v>
      </c>
      <c r="I224" s="294">
        <v>0</v>
      </c>
      <c r="J224" s="294">
        <v>0</v>
      </c>
      <c r="K224" s="294">
        <v>0</v>
      </c>
      <c r="L224" s="294"/>
      <c r="M224" s="294"/>
      <c r="N224" s="294">
        <v>0</v>
      </c>
      <c r="O224" s="294">
        <v>0</v>
      </c>
      <c r="P224" s="294">
        <v>0</v>
      </c>
      <c r="Q224" s="294">
        <v>0</v>
      </c>
      <c r="R224" s="294">
        <v>0</v>
      </c>
      <c r="S224" s="294">
        <v>0</v>
      </c>
      <c r="T224" s="209">
        <v>-1457755</v>
      </c>
      <c r="U224" s="209">
        <v>-1457755</v>
      </c>
      <c r="V224" s="294">
        <v>0</v>
      </c>
      <c r="W224" s="209">
        <v>-1457755</v>
      </c>
      <c r="X224" s="209"/>
      <c r="Y224" s="347"/>
      <c r="Z224" s="347"/>
      <c r="AA224" s="347"/>
      <c r="AB224" s="347"/>
    </row>
    <row r="225" spans="2:28" x14ac:dyDescent="0.3">
      <c r="B225" s="214">
        <v>230</v>
      </c>
      <c r="C225" s="207" t="str">
        <f>'Employer Allocations'!A209</f>
        <v>Pikeville City Schools</v>
      </c>
      <c r="D225" s="336">
        <v>0</v>
      </c>
      <c r="E225" s="336">
        <v>29495139</v>
      </c>
      <c r="F225" s="336">
        <v>29495139</v>
      </c>
      <c r="G225" s="336">
        <v>0</v>
      </c>
      <c r="H225" s="336">
        <v>0</v>
      </c>
      <c r="I225" s="336">
        <v>0</v>
      </c>
      <c r="J225" s="336">
        <v>0</v>
      </c>
      <c r="K225" s="336">
        <v>0</v>
      </c>
      <c r="L225" s="336"/>
      <c r="M225" s="336"/>
      <c r="N225" s="336">
        <v>0</v>
      </c>
      <c r="O225" s="336">
        <v>0</v>
      </c>
      <c r="P225" s="336">
        <v>0</v>
      </c>
      <c r="Q225" s="336">
        <v>0</v>
      </c>
      <c r="R225" s="336">
        <v>0</v>
      </c>
      <c r="S225" s="336">
        <v>0</v>
      </c>
      <c r="T225" s="336">
        <v>-3272741</v>
      </c>
      <c r="U225" s="336">
        <v>-3272741</v>
      </c>
      <c r="V225" s="336">
        <v>0</v>
      </c>
      <c r="W225" s="336">
        <v>-3272741</v>
      </c>
      <c r="X225" s="209"/>
      <c r="Y225" s="347"/>
      <c r="Z225" s="347"/>
      <c r="AA225" s="347"/>
      <c r="AB225" s="347"/>
    </row>
    <row r="226" spans="2:28" x14ac:dyDescent="0.3">
      <c r="B226" s="214">
        <v>231</v>
      </c>
      <c r="C226" s="207" t="str">
        <f>'Employer Allocations'!A210</f>
        <v>Pineville City Schools</v>
      </c>
      <c r="D226" s="294">
        <v>0</v>
      </c>
      <c r="E226" s="209">
        <v>10458579</v>
      </c>
      <c r="F226" s="209">
        <v>10458579</v>
      </c>
      <c r="G226" s="294">
        <v>0</v>
      </c>
      <c r="H226" s="294">
        <v>0</v>
      </c>
      <c r="I226" s="294">
        <v>0</v>
      </c>
      <c r="J226" s="294">
        <v>0</v>
      </c>
      <c r="K226" s="294">
        <v>0</v>
      </c>
      <c r="L226" s="294"/>
      <c r="M226" s="294"/>
      <c r="N226" s="294">
        <v>0</v>
      </c>
      <c r="O226" s="294">
        <v>0</v>
      </c>
      <c r="P226" s="294">
        <v>0</v>
      </c>
      <c r="Q226" s="294">
        <v>0</v>
      </c>
      <c r="R226" s="294">
        <v>0</v>
      </c>
      <c r="S226" s="294">
        <v>0</v>
      </c>
      <c r="T226" s="209">
        <v>-1160470</v>
      </c>
      <c r="U226" s="209">
        <v>-1160470</v>
      </c>
      <c r="V226" s="294">
        <v>0</v>
      </c>
      <c r="W226" s="209">
        <v>-1160470</v>
      </c>
      <c r="X226" s="209"/>
      <c r="Y226" s="347"/>
      <c r="Z226" s="347"/>
      <c r="AA226" s="347"/>
      <c r="AB226" s="347"/>
    </row>
    <row r="227" spans="2:28" x14ac:dyDescent="0.3">
      <c r="B227" s="214">
        <v>235</v>
      </c>
      <c r="C227" s="207" t="str">
        <f>'Employer Allocations'!A211</f>
        <v>Raceland City Schools</v>
      </c>
      <c r="D227" s="294">
        <v>0</v>
      </c>
      <c r="E227" s="209">
        <v>19105582</v>
      </c>
      <c r="F227" s="209">
        <v>19105582</v>
      </c>
      <c r="G227" s="294">
        <v>0</v>
      </c>
      <c r="H227" s="294">
        <v>0</v>
      </c>
      <c r="I227" s="294">
        <v>0</v>
      </c>
      <c r="J227" s="294">
        <v>0</v>
      </c>
      <c r="K227" s="294">
        <v>0</v>
      </c>
      <c r="L227" s="294"/>
      <c r="M227" s="294"/>
      <c r="N227" s="294">
        <v>0</v>
      </c>
      <c r="O227" s="294">
        <v>0</v>
      </c>
      <c r="P227" s="294">
        <v>0</v>
      </c>
      <c r="Q227" s="294">
        <v>0</v>
      </c>
      <c r="R227" s="294">
        <v>0</v>
      </c>
      <c r="S227" s="294">
        <v>0</v>
      </c>
      <c r="T227" s="209">
        <v>-2119930</v>
      </c>
      <c r="U227" s="209">
        <v>-2119930</v>
      </c>
      <c r="V227" s="294">
        <v>0</v>
      </c>
      <c r="W227" s="209">
        <v>-2119930</v>
      </c>
      <c r="X227" s="209"/>
      <c r="Y227" s="347"/>
      <c r="Z227" s="347"/>
      <c r="AA227" s="347"/>
      <c r="AB227" s="347"/>
    </row>
    <row r="228" spans="2:28" x14ac:dyDescent="0.3">
      <c r="B228" s="214">
        <v>238</v>
      </c>
      <c r="C228" s="207" t="str">
        <f>'Employer Allocations'!A212</f>
        <v>Russell City Schools</v>
      </c>
      <c r="D228" s="294">
        <v>0</v>
      </c>
      <c r="E228" s="209">
        <v>45394395</v>
      </c>
      <c r="F228" s="209">
        <v>45394395</v>
      </c>
      <c r="G228" s="294">
        <v>0</v>
      </c>
      <c r="H228" s="294">
        <v>0</v>
      </c>
      <c r="I228" s="294">
        <v>0</v>
      </c>
      <c r="J228" s="294">
        <v>0</v>
      </c>
      <c r="K228" s="294">
        <v>0</v>
      </c>
      <c r="L228" s="294"/>
      <c r="M228" s="294"/>
      <c r="N228" s="294">
        <v>0</v>
      </c>
      <c r="O228" s="294">
        <v>0</v>
      </c>
      <c r="P228" s="294">
        <v>0</v>
      </c>
      <c r="Q228" s="294">
        <v>0</v>
      </c>
      <c r="R228" s="294">
        <v>0</v>
      </c>
      <c r="S228" s="294">
        <v>0</v>
      </c>
      <c r="T228" s="209">
        <v>-5036902</v>
      </c>
      <c r="U228" s="209">
        <v>-5036902</v>
      </c>
      <c r="V228" s="294">
        <v>0</v>
      </c>
      <c r="W228" s="209">
        <v>-5036902</v>
      </c>
      <c r="X228" s="209"/>
      <c r="Y228" s="347"/>
      <c r="Z228" s="347"/>
      <c r="AA228" s="347"/>
      <c r="AB228" s="347"/>
    </row>
    <row r="229" spans="2:28" x14ac:dyDescent="0.3">
      <c r="B229" s="214">
        <v>239</v>
      </c>
      <c r="C229" s="207" t="str">
        <f>'Employer Allocations'!A213</f>
        <v>Russellville City Schools</v>
      </c>
      <c r="D229" s="294">
        <v>0</v>
      </c>
      <c r="E229" s="209">
        <v>20198877</v>
      </c>
      <c r="F229" s="209">
        <v>20198877</v>
      </c>
      <c r="G229" s="294">
        <v>0</v>
      </c>
      <c r="H229" s="294">
        <v>0</v>
      </c>
      <c r="I229" s="294">
        <v>0</v>
      </c>
      <c r="J229" s="294">
        <v>0</v>
      </c>
      <c r="K229" s="294">
        <v>0</v>
      </c>
      <c r="L229" s="294"/>
      <c r="M229" s="294"/>
      <c r="N229" s="294">
        <v>0</v>
      </c>
      <c r="O229" s="294">
        <v>0</v>
      </c>
      <c r="P229" s="294">
        <v>0</v>
      </c>
      <c r="Q229" s="294">
        <v>0</v>
      </c>
      <c r="R229" s="294">
        <v>0</v>
      </c>
      <c r="S229" s="294">
        <v>0</v>
      </c>
      <c r="T229" s="209">
        <v>-2241240</v>
      </c>
      <c r="U229" s="209">
        <v>-2241240</v>
      </c>
      <c r="V229" s="294">
        <v>0</v>
      </c>
      <c r="W229" s="209">
        <v>-2241240</v>
      </c>
      <c r="X229" s="209"/>
      <c r="Y229" s="347"/>
      <c r="Z229" s="347"/>
      <c r="AA229" s="347"/>
      <c r="AB229" s="347"/>
    </row>
    <row r="230" spans="2:28" x14ac:dyDescent="0.3">
      <c r="B230" s="214">
        <v>240</v>
      </c>
      <c r="C230" s="207" t="str">
        <f>'Employer Allocations'!A214</f>
        <v>Science Hill City Schools</v>
      </c>
      <c r="D230" s="294">
        <v>0</v>
      </c>
      <c r="E230" s="209">
        <v>7470798</v>
      </c>
      <c r="F230" s="209">
        <v>7470798</v>
      </c>
      <c r="G230" s="294">
        <v>0</v>
      </c>
      <c r="H230" s="294">
        <v>0</v>
      </c>
      <c r="I230" s="294">
        <v>0</v>
      </c>
      <c r="J230" s="294">
        <v>0</v>
      </c>
      <c r="K230" s="294">
        <v>0</v>
      </c>
      <c r="L230" s="294"/>
      <c r="M230" s="294"/>
      <c r="N230" s="294">
        <v>0</v>
      </c>
      <c r="O230" s="294">
        <v>0</v>
      </c>
      <c r="P230" s="294">
        <v>0</v>
      </c>
      <c r="Q230" s="294">
        <v>0</v>
      </c>
      <c r="R230" s="294">
        <v>0</v>
      </c>
      <c r="S230" s="294">
        <v>0</v>
      </c>
      <c r="T230" s="209">
        <v>-828950</v>
      </c>
      <c r="U230" s="209">
        <v>-828950</v>
      </c>
      <c r="V230" s="294">
        <v>0</v>
      </c>
      <c r="W230" s="209">
        <v>-828950</v>
      </c>
      <c r="X230" s="209"/>
      <c r="Y230" s="347"/>
      <c r="Z230" s="347"/>
      <c r="AA230" s="347"/>
      <c r="AB230" s="347"/>
    </row>
    <row r="231" spans="2:28" x14ac:dyDescent="0.3">
      <c r="B231" s="214">
        <v>246</v>
      </c>
      <c r="C231" s="207" t="str">
        <f>'Employer Allocations'!A216</f>
        <v>Somerset City Schools</v>
      </c>
      <c r="D231" s="294">
        <v>0</v>
      </c>
      <c r="E231" s="209">
        <v>32150424</v>
      </c>
      <c r="F231" s="209">
        <v>32150424</v>
      </c>
      <c r="G231" s="294">
        <v>0</v>
      </c>
      <c r="H231" s="294">
        <v>0</v>
      </c>
      <c r="I231" s="294">
        <v>0</v>
      </c>
      <c r="J231" s="294">
        <v>0</v>
      </c>
      <c r="K231" s="294">
        <v>0</v>
      </c>
      <c r="L231" s="294"/>
      <c r="M231" s="294"/>
      <c r="N231" s="294">
        <v>0</v>
      </c>
      <c r="O231" s="294">
        <v>0</v>
      </c>
      <c r="P231" s="294">
        <v>0</v>
      </c>
      <c r="Q231" s="294">
        <v>0</v>
      </c>
      <c r="R231" s="294">
        <v>0</v>
      </c>
      <c r="S231" s="294">
        <v>0</v>
      </c>
      <c r="T231" s="209">
        <v>-3567368</v>
      </c>
      <c r="U231" s="209">
        <v>-3567368</v>
      </c>
      <c r="V231" s="294">
        <v>0</v>
      </c>
      <c r="W231" s="209">
        <v>-3567368</v>
      </c>
      <c r="X231" s="209"/>
      <c r="Y231" s="347"/>
      <c r="Z231" s="347"/>
      <c r="AA231" s="347"/>
      <c r="AB231" s="347"/>
    </row>
    <row r="232" spans="2:28" x14ac:dyDescent="0.3">
      <c r="B232" s="214">
        <v>247</v>
      </c>
      <c r="C232" s="207" t="str">
        <f>'Employer Allocations'!A217</f>
        <v>Southgate City Schools</v>
      </c>
      <c r="D232" s="294">
        <v>0</v>
      </c>
      <c r="E232" s="209">
        <v>5374349</v>
      </c>
      <c r="F232" s="209">
        <v>5374349</v>
      </c>
      <c r="G232" s="294">
        <v>0</v>
      </c>
      <c r="H232" s="294">
        <v>0</v>
      </c>
      <c r="I232" s="294">
        <v>0</v>
      </c>
      <c r="J232" s="294">
        <v>0</v>
      </c>
      <c r="K232" s="294">
        <v>0</v>
      </c>
      <c r="L232" s="294"/>
      <c r="M232" s="294"/>
      <c r="N232" s="294">
        <v>0</v>
      </c>
      <c r="O232" s="294">
        <v>0</v>
      </c>
      <c r="P232" s="294">
        <v>0</v>
      </c>
      <c r="Q232" s="294">
        <v>0</v>
      </c>
      <c r="R232" s="294">
        <v>0</v>
      </c>
      <c r="S232" s="294">
        <v>0</v>
      </c>
      <c r="T232" s="209">
        <v>-596331</v>
      </c>
      <c r="U232" s="209">
        <v>-596331</v>
      </c>
      <c r="V232" s="294">
        <v>0</v>
      </c>
      <c r="W232" s="209">
        <v>-596331</v>
      </c>
      <c r="X232" s="209"/>
      <c r="Y232" s="347"/>
      <c r="Z232" s="347"/>
      <c r="AA232" s="347"/>
      <c r="AB232" s="347"/>
    </row>
    <row r="233" spans="2:28" x14ac:dyDescent="0.3">
      <c r="B233" s="214">
        <v>258</v>
      </c>
      <c r="C233" s="207" t="str">
        <f>'Employer Allocations'!A218</f>
        <v>Walton-Verona Independent Schools</v>
      </c>
      <c r="D233" s="294">
        <v>0</v>
      </c>
      <c r="E233" s="209">
        <v>36383433</v>
      </c>
      <c r="F233" s="209">
        <v>36383433</v>
      </c>
      <c r="G233" s="294">
        <v>0</v>
      </c>
      <c r="H233" s="294">
        <v>0</v>
      </c>
      <c r="I233" s="294">
        <v>0</v>
      </c>
      <c r="J233" s="294">
        <v>0</v>
      </c>
      <c r="K233" s="294">
        <v>0</v>
      </c>
      <c r="L233" s="294"/>
      <c r="M233" s="294"/>
      <c r="N233" s="294">
        <v>0</v>
      </c>
      <c r="O233" s="294">
        <v>0</v>
      </c>
      <c r="P233" s="294">
        <v>0</v>
      </c>
      <c r="Q233" s="294">
        <v>0</v>
      </c>
      <c r="R233" s="294">
        <v>0</v>
      </c>
      <c r="S233" s="294">
        <v>0</v>
      </c>
      <c r="T233" s="209">
        <v>-4037057</v>
      </c>
      <c r="U233" s="209">
        <v>-4037057</v>
      </c>
      <c r="V233" s="294">
        <v>0</v>
      </c>
      <c r="W233" s="209">
        <v>-4037057</v>
      </c>
      <c r="X233" s="209"/>
      <c r="Y233" s="347"/>
      <c r="Z233" s="347"/>
      <c r="AA233" s="347"/>
      <c r="AB233" s="347"/>
    </row>
    <row r="234" spans="2:28" x14ac:dyDescent="0.3">
      <c r="B234" s="214">
        <v>259</v>
      </c>
      <c r="C234" s="207" t="str">
        <f>'Employer Allocations'!A219</f>
        <v>West Point City Schools</v>
      </c>
      <c r="D234" s="294">
        <v>0</v>
      </c>
      <c r="E234" s="209">
        <v>3158138</v>
      </c>
      <c r="F234" s="209">
        <v>3158138</v>
      </c>
      <c r="G234" s="294">
        <v>0</v>
      </c>
      <c r="H234" s="294">
        <v>0</v>
      </c>
      <c r="I234" s="294">
        <v>0</v>
      </c>
      <c r="J234" s="294">
        <v>0</v>
      </c>
      <c r="K234" s="294">
        <v>0</v>
      </c>
      <c r="L234" s="294"/>
      <c r="M234" s="294"/>
      <c r="N234" s="294">
        <v>0</v>
      </c>
      <c r="O234" s="294">
        <v>0</v>
      </c>
      <c r="P234" s="294">
        <v>0</v>
      </c>
      <c r="Q234" s="294">
        <v>0</v>
      </c>
      <c r="R234" s="294">
        <v>0</v>
      </c>
      <c r="S234" s="294">
        <v>0</v>
      </c>
      <c r="T234" s="209">
        <v>-350423</v>
      </c>
      <c r="U234" s="209">
        <v>-350423</v>
      </c>
      <c r="V234" s="294">
        <v>0</v>
      </c>
      <c r="W234" s="209">
        <v>-350423</v>
      </c>
      <c r="X234" s="209"/>
      <c r="Y234" s="347"/>
      <c r="Z234" s="347"/>
      <c r="AA234" s="347"/>
      <c r="AB234" s="347"/>
    </row>
    <row r="235" spans="2:28" x14ac:dyDescent="0.3">
      <c r="B235" s="214">
        <v>260</v>
      </c>
      <c r="C235" s="207" t="str">
        <f>'Employer Allocations'!A220</f>
        <v>Williamsburg City Schools</v>
      </c>
      <c r="D235" s="294">
        <v>0</v>
      </c>
      <c r="E235" s="209">
        <v>14097744</v>
      </c>
      <c r="F235" s="209">
        <v>14097744</v>
      </c>
      <c r="G235" s="294">
        <v>0</v>
      </c>
      <c r="H235" s="294">
        <v>0</v>
      </c>
      <c r="I235" s="294">
        <v>0</v>
      </c>
      <c r="J235" s="294">
        <v>0</v>
      </c>
      <c r="K235" s="294">
        <v>0</v>
      </c>
      <c r="L235" s="294"/>
      <c r="M235" s="294"/>
      <c r="N235" s="294">
        <v>0</v>
      </c>
      <c r="O235" s="294">
        <v>0</v>
      </c>
      <c r="P235" s="294">
        <v>0</v>
      </c>
      <c r="Q235" s="294">
        <v>0</v>
      </c>
      <c r="R235" s="294">
        <v>0</v>
      </c>
      <c r="S235" s="294">
        <v>0</v>
      </c>
      <c r="T235" s="209">
        <v>-1564267</v>
      </c>
      <c r="U235" s="209">
        <v>-1564267</v>
      </c>
      <c r="V235" s="294">
        <v>0</v>
      </c>
      <c r="W235" s="209">
        <v>-1564267</v>
      </c>
      <c r="X235" s="209"/>
      <c r="Y235" s="347"/>
      <c r="Z235" s="347"/>
      <c r="AA235" s="347"/>
      <c r="AB235" s="347"/>
    </row>
    <row r="236" spans="2:28" x14ac:dyDescent="0.3">
      <c r="B236" s="214">
        <v>261</v>
      </c>
      <c r="C236" s="207" t="str">
        <f>'Employer Allocations'!A221</f>
        <v>Williamstown City Schools</v>
      </c>
      <c r="D236" s="294">
        <v>0</v>
      </c>
      <c r="E236" s="209">
        <v>14209851</v>
      </c>
      <c r="F236" s="209">
        <v>14209851</v>
      </c>
      <c r="G236" s="294">
        <v>0</v>
      </c>
      <c r="H236" s="294">
        <v>0</v>
      </c>
      <c r="I236" s="294">
        <v>0</v>
      </c>
      <c r="J236" s="294">
        <v>0</v>
      </c>
      <c r="K236" s="294">
        <v>0</v>
      </c>
      <c r="L236" s="294"/>
      <c r="M236" s="294"/>
      <c r="N236" s="294">
        <v>0</v>
      </c>
      <c r="O236" s="294">
        <v>0</v>
      </c>
      <c r="P236" s="294">
        <v>0</v>
      </c>
      <c r="Q236" s="294">
        <v>0</v>
      </c>
      <c r="R236" s="294">
        <v>0</v>
      </c>
      <c r="S236" s="294">
        <v>0</v>
      </c>
      <c r="T236" s="209">
        <v>-1576706</v>
      </c>
      <c r="U236" s="209">
        <v>-1576706</v>
      </c>
      <c r="V236" s="294">
        <v>0</v>
      </c>
      <c r="W236" s="209">
        <v>-1576706</v>
      </c>
      <c r="X236" s="209"/>
      <c r="Y236" s="347"/>
      <c r="Z236" s="347"/>
      <c r="AA236" s="347"/>
      <c r="AB236" s="347"/>
    </row>
    <row r="237" spans="2:28" x14ac:dyDescent="0.3">
      <c r="B237" s="214">
        <v>870</v>
      </c>
      <c r="C237" s="207" t="str">
        <f>'Employer Allocations'!A222</f>
        <v>Ohio Valley Educational Cooperative</v>
      </c>
      <c r="D237" s="294">
        <v>0</v>
      </c>
      <c r="E237" s="209">
        <v>9852831</v>
      </c>
      <c r="F237" s="209">
        <v>9852831</v>
      </c>
      <c r="G237" s="294">
        <v>0</v>
      </c>
      <c r="H237" s="294">
        <v>0</v>
      </c>
      <c r="I237" s="294">
        <v>0</v>
      </c>
      <c r="J237" s="294">
        <v>0</v>
      </c>
      <c r="K237" s="294">
        <v>0</v>
      </c>
      <c r="L237" s="294"/>
      <c r="M237" s="294"/>
      <c r="N237" s="294">
        <v>0</v>
      </c>
      <c r="O237" s="294">
        <v>0</v>
      </c>
      <c r="P237" s="294">
        <v>0</v>
      </c>
      <c r="Q237" s="294">
        <v>0</v>
      </c>
      <c r="R237" s="294">
        <v>0</v>
      </c>
      <c r="S237" s="294">
        <v>0</v>
      </c>
      <c r="T237" s="209">
        <v>-1093257</v>
      </c>
      <c r="U237" s="209">
        <v>-1093257</v>
      </c>
      <c r="V237" s="294">
        <v>0</v>
      </c>
      <c r="W237" s="209">
        <v>-1093257</v>
      </c>
      <c r="X237" s="209"/>
      <c r="Y237" s="347"/>
      <c r="Z237" s="347"/>
      <c r="AA237" s="347"/>
      <c r="AB237" s="347"/>
    </row>
    <row r="238" spans="2:28" x14ac:dyDescent="0.3">
      <c r="B238" s="214">
        <v>871</v>
      </c>
      <c r="C238" s="207" t="str">
        <f>'Employer Allocations'!A223</f>
        <v>West Kentucky Educational Cooperative</v>
      </c>
      <c r="D238" s="294">
        <v>0</v>
      </c>
      <c r="E238" s="209">
        <v>4994232</v>
      </c>
      <c r="F238" s="209">
        <v>4994232</v>
      </c>
      <c r="G238" s="294">
        <v>0</v>
      </c>
      <c r="H238" s="294">
        <v>0</v>
      </c>
      <c r="I238" s="294">
        <v>0</v>
      </c>
      <c r="J238" s="294">
        <v>0</v>
      </c>
      <c r="K238" s="294">
        <v>0</v>
      </c>
      <c r="L238" s="294"/>
      <c r="M238" s="294"/>
      <c r="N238" s="294">
        <v>0</v>
      </c>
      <c r="O238" s="294">
        <v>0</v>
      </c>
      <c r="P238" s="294">
        <v>0</v>
      </c>
      <c r="Q238" s="294">
        <v>0</v>
      </c>
      <c r="R238" s="294">
        <v>0</v>
      </c>
      <c r="S238" s="294">
        <v>0</v>
      </c>
      <c r="T238" s="209">
        <v>-554153</v>
      </c>
      <c r="U238" s="209">
        <v>-554153</v>
      </c>
      <c r="V238" s="294">
        <v>0</v>
      </c>
      <c r="W238" s="209">
        <v>-554153</v>
      </c>
      <c r="X238" s="209"/>
      <c r="Y238" s="347"/>
      <c r="Z238" s="347"/>
      <c r="AA238" s="347"/>
      <c r="AB238" s="347"/>
    </row>
    <row r="239" spans="2:28" x14ac:dyDescent="0.3">
      <c r="B239" s="214">
        <v>872</v>
      </c>
      <c r="C239" s="207" t="str">
        <f>'Employer Allocations'!A224</f>
        <v>Southeast South-Central Educational Cooperative</v>
      </c>
      <c r="D239" s="294">
        <v>0</v>
      </c>
      <c r="E239" s="209">
        <v>1701027</v>
      </c>
      <c r="F239" s="209">
        <v>1701027</v>
      </c>
      <c r="G239" s="294">
        <v>0</v>
      </c>
      <c r="H239" s="294">
        <v>0</v>
      </c>
      <c r="I239" s="294">
        <v>0</v>
      </c>
      <c r="J239" s="294">
        <v>0</v>
      </c>
      <c r="K239" s="294">
        <v>0</v>
      </c>
      <c r="L239" s="294"/>
      <c r="M239" s="294"/>
      <c r="N239" s="294">
        <v>0</v>
      </c>
      <c r="O239" s="294">
        <v>0</v>
      </c>
      <c r="P239" s="294">
        <v>0</v>
      </c>
      <c r="Q239" s="294">
        <v>0</v>
      </c>
      <c r="R239" s="294">
        <v>0</v>
      </c>
      <c r="S239" s="294">
        <v>0</v>
      </c>
      <c r="T239" s="209">
        <v>-188744</v>
      </c>
      <c r="U239" s="209">
        <v>-188744</v>
      </c>
      <c r="V239" s="294">
        <v>0</v>
      </c>
      <c r="W239" s="209">
        <v>-188744</v>
      </c>
      <c r="X239" s="209"/>
      <c r="Y239" s="347"/>
      <c r="Z239" s="347"/>
      <c r="AA239" s="347"/>
      <c r="AB239" s="347"/>
    </row>
    <row r="240" spans="2:28" x14ac:dyDescent="0.3">
      <c r="B240" s="214">
        <v>890</v>
      </c>
      <c r="C240" s="207" t="str">
        <f>'Employer Allocations'!A225</f>
        <v>Green River Regional Educational Cooperative</v>
      </c>
      <c r="D240" s="294">
        <v>0</v>
      </c>
      <c r="E240" s="209">
        <v>3460587</v>
      </c>
      <c r="F240" s="209">
        <v>3460587</v>
      </c>
      <c r="G240" s="294">
        <v>0</v>
      </c>
      <c r="H240" s="294">
        <v>0</v>
      </c>
      <c r="I240" s="294">
        <v>0</v>
      </c>
      <c r="J240" s="294">
        <v>0</v>
      </c>
      <c r="K240" s="294">
        <v>0</v>
      </c>
      <c r="L240" s="294"/>
      <c r="M240" s="294"/>
      <c r="N240" s="294">
        <v>0</v>
      </c>
      <c r="O240" s="294">
        <v>0</v>
      </c>
      <c r="P240" s="294">
        <v>0</v>
      </c>
      <c r="Q240" s="294">
        <v>0</v>
      </c>
      <c r="R240" s="294">
        <v>0</v>
      </c>
      <c r="S240" s="294">
        <v>0</v>
      </c>
      <c r="T240" s="209">
        <v>-383982</v>
      </c>
      <c r="U240" s="209">
        <v>-383982</v>
      </c>
      <c r="V240" s="294">
        <v>0</v>
      </c>
      <c r="W240" s="209">
        <v>-383982</v>
      </c>
      <c r="X240" s="209"/>
      <c r="Y240" s="347"/>
      <c r="Z240" s="347"/>
      <c r="AA240" s="347"/>
      <c r="AB240" s="347"/>
    </row>
    <row r="241" spans="2:28" x14ac:dyDescent="0.3">
      <c r="B241" s="214">
        <v>891</v>
      </c>
      <c r="C241" s="207" t="str">
        <f>'Employer Allocations'!A226</f>
        <v>Central KY Special Education Cooperative</v>
      </c>
      <c r="D241" s="294">
        <v>0</v>
      </c>
      <c r="E241" s="209">
        <v>1388373</v>
      </c>
      <c r="F241" s="209">
        <v>1388373</v>
      </c>
      <c r="G241" s="294">
        <v>0</v>
      </c>
      <c r="H241" s="294">
        <v>0</v>
      </c>
      <c r="I241" s="294">
        <v>0</v>
      </c>
      <c r="J241" s="294">
        <v>0</v>
      </c>
      <c r="K241" s="294">
        <v>0</v>
      </c>
      <c r="L241" s="294"/>
      <c r="M241" s="294"/>
      <c r="N241" s="294">
        <v>0</v>
      </c>
      <c r="O241" s="294">
        <v>0</v>
      </c>
      <c r="P241" s="294">
        <v>0</v>
      </c>
      <c r="Q241" s="294">
        <v>0</v>
      </c>
      <c r="R241" s="294">
        <v>0</v>
      </c>
      <c r="S241" s="294">
        <v>0</v>
      </c>
      <c r="T241" s="209">
        <v>-154052</v>
      </c>
      <c r="U241" s="209">
        <v>-154052</v>
      </c>
      <c r="V241" s="294">
        <v>0</v>
      </c>
      <c r="W241" s="209">
        <v>-154052</v>
      </c>
      <c r="X241" s="209"/>
      <c r="Y241" s="347"/>
      <c r="Z241" s="347"/>
      <c r="AA241" s="347"/>
      <c r="AB241" s="347"/>
    </row>
    <row r="242" spans="2:28" x14ac:dyDescent="0.3">
      <c r="B242" s="214">
        <v>892</v>
      </c>
      <c r="C242" s="207" t="str">
        <f>'Employer Allocations'!A227</f>
        <v>KY Valley Educational Cooperative</v>
      </c>
      <c r="D242" s="294">
        <v>0</v>
      </c>
      <c r="E242" s="209">
        <v>3979456</v>
      </c>
      <c r="F242" s="209">
        <v>3979456</v>
      </c>
      <c r="G242" s="294">
        <v>0</v>
      </c>
      <c r="H242" s="294">
        <v>0</v>
      </c>
      <c r="I242" s="294">
        <v>0</v>
      </c>
      <c r="J242" s="294">
        <v>0</v>
      </c>
      <c r="K242" s="294">
        <v>0</v>
      </c>
      <c r="L242" s="294"/>
      <c r="M242" s="294"/>
      <c r="N242" s="294">
        <v>0</v>
      </c>
      <c r="O242" s="294">
        <v>0</v>
      </c>
      <c r="P242" s="294">
        <v>0</v>
      </c>
      <c r="Q242" s="294">
        <v>0</v>
      </c>
      <c r="R242" s="294">
        <v>0</v>
      </c>
      <c r="S242" s="294">
        <v>0</v>
      </c>
      <c r="T242" s="209">
        <v>-441555</v>
      </c>
      <c r="U242" s="209">
        <v>-441555</v>
      </c>
      <c r="V242" s="294">
        <v>0</v>
      </c>
      <c r="W242" s="209">
        <v>-441555</v>
      </c>
      <c r="X242" s="209"/>
      <c r="Y242" s="347"/>
      <c r="Z242" s="347"/>
      <c r="AA242" s="347"/>
      <c r="AB242" s="347"/>
    </row>
    <row r="243" spans="2:28" x14ac:dyDescent="0.3">
      <c r="B243" s="214">
        <v>894</v>
      </c>
      <c r="C243" s="207" t="str">
        <f>'Employer Allocations'!A228</f>
        <v>KY Educational Development Corporation</v>
      </c>
      <c r="D243" s="294">
        <v>0</v>
      </c>
      <c r="E243" s="209">
        <v>7604590</v>
      </c>
      <c r="F243" s="209">
        <v>7604590</v>
      </c>
      <c r="G243" s="294">
        <v>0</v>
      </c>
      <c r="H243" s="294">
        <v>0</v>
      </c>
      <c r="I243" s="294">
        <v>0</v>
      </c>
      <c r="J243" s="294">
        <v>0</v>
      </c>
      <c r="K243" s="294">
        <v>0</v>
      </c>
      <c r="L243" s="294"/>
      <c r="M243" s="294"/>
      <c r="N243" s="294">
        <v>0</v>
      </c>
      <c r="O243" s="294">
        <v>0</v>
      </c>
      <c r="P243" s="294">
        <v>0</v>
      </c>
      <c r="Q243" s="294">
        <v>0</v>
      </c>
      <c r="R243" s="294">
        <v>0</v>
      </c>
      <c r="S243" s="294">
        <v>0</v>
      </c>
      <c r="T243" s="209">
        <v>-843795</v>
      </c>
      <c r="U243" s="209">
        <v>-843795</v>
      </c>
      <c r="V243" s="294">
        <v>0</v>
      </c>
      <c r="W243" s="209">
        <v>-843795</v>
      </c>
      <c r="X243" s="209"/>
      <c r="Y243" s="347"/>
      <c r="Z243" s="347"/>
      <c r="AA243" s="347"/>
      <c r="AB243" s="347"/>
    </row>
    <row r="244" spans="2:28" ht="12" x14ac:dyDescent="0.45">
      <c r="B244" s="214">
        <v>895</v>
      </c>
      <c r="C244" s="207" t="str">
        <f>'Employer Allocations'!A229</f>
        <v>Northern KY Cooperative for Educational Services</v>
      </c>
      <c r="D244" s="297">
        <v>0</v>
      </c>
      <c r="E244" s="211">
        <v>7144964</v>
      </c>
      <c r="F244" s="211">
        <v>7144964</v>
      </c>
      <c r="G244" s="297">
        <v>0</v>
      </c>
      <c r="H244" s="297">
        <v>0</v>
      </c>
      <c r="I244" s="297">
        <v>0</v>
      </c>
      <c r="J244" s="297">
        <v>0</v>
      </c>
      <c r="K244" s="297">
        <v>0</v>
      </c>
      <c r="L244" s="297"/>
      <c r="M244" s="297"/>
      <c r="N244" s="297">
        <v>0</v>
      </c>
      <c r="O244" s="297">
        <v>0</v>
      </c>
      <c r="P244" s="297">
        <v>0</v>
      </c>
      <c r="Q244" s="297">
        <v>0</v>
      </c>
      <c r="R244" s="297">
        <v>0</v>
      </c>
      <c r="S244" s="297">
        <v>0</v>
      </c>
      <c r="T244" s="211">
        <v>-792796</v>
      </c>
      <c r="U244" s="211">
        <v>-792796</v>
      </c>
      <c r="V244" s="297">
        <v>0</v>
      </c>
      <c r="W244" s="211">
        <v>-792796</v>
      </c>
      <c r="X244" s="209"/>
      <c r="Y244" s="347"/>
      <c r="Z244" s="347"/>
      <c r="AA244" s="347"/>
      <c r="AB244" s="347"/>
    </row>
    <row r="245" spans="2:28" ht="25.5" customHeight="1" x14ac:dyDescent="0.45">
      <c r="B245" s="213"/>
      <c r="C245" s="328" t="s">
        <v>713</v>
      </c>
      <c r="D245" s="335">
        <v>0</v>
      </c>
      <c r="E245" s="335">
        <f>SUM(E65:E244)</f>
        <v>13880555348</v>
      </c>
      <c r="F245" s="335">
        <f>SUM(F65:F244)</f>
        <v>13880555348</v>
      </c>
      <c r="G245" s="335">
        <v>0</v>
      </c>
      <c r="H245" s="335">
        <v>0</v>
      </c>
      <c r="I245" s="335">
        <v>0</v>
      </c>
      <c r="J245" s="335">
        <v>0</v>
      </c>
      <c r="K245" s="335">
        <v>0</v>
      </c>
      <c r="L245" s="335"/>
      <c r="M245" s="335"/>
      <c r="N245" s="335">
        <v>0</v>
      </c>
      <c r="O245" s="335">
        <v>0</v>
      </c>
      <c r="P245" s="335">
        <v>0</v>
      </c>
      <c r="Q245" s="335">
        <v>0</v>
      </c>
      <c r="R245" s="335">
        <v>0</v>
      </c>
      <c r="S245" s="335">
        <f>SUM(S65:S244)</f>
        <v>0</v>
      </c>
      <c r="T245" s="335">
        <f>SUM(T65:T244)</f>
        <v>-1540167912</v>
      </c>
      <c r="U245" s="335">
        <f>SUM(U65:U244)</f>
        <v>-1540167912</v>
      </c>
      <c r="V245" s="335">
        <f>SUM(V65:V244)</f>
        <v>0</v>
      </c>
      <c r="W245" s="335">
        <f>SUM(W65:W244)</f>
        <v>-1540167912</v>
      </c>
      <c r="X245" s="209"/>
      <c r="Y245" s="347"/>
      <c r="Z245" s="347"/>
      <c r="AA245" s="347"/>
      <c r="AB245" s="347"/>
    </row>
    <row r="246" spans="2:28" x14ac:dyDescent="0.3">
      <c r="B246" s="213"/>
      <c r="C246" s="207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347"/>
      <c r="Z246" s="347"/>
      <c r="AA246" s="347"/>
      <c r="AB246" s="347"/>
    </row>
    <row r="247" spans="2:28" x14ac:dyDescent="0.3">
      <c r="B247" s="213"/>
      <c r="C247" s="207" t="s">
        <v>712</v>
      </c>
      <c r="D247" s="209">
        <f t="shared" ref="D247:J247" si="8">D33+D49+D245</f>
        <v>120814419</v>
      </c>
      <c r="E247" s="209">
        <f t="shared" si="8"/>
        <v>14052045679</v>
      </c>
      <c r="F247" s="209">
        <f t="shared" si="8"/>
        <v>14172860098</v>
      </c>
      <c r="G247" s="209">
        <f t="shared" si="8"/>
        <v>682158</v>
      </c>
      <c r="H247" s="209">
        <f t="shared" si="8"/>
        <v>625502</v>
      </c>
      <c r="I247" s="209">
        <f t="shared" si="8"/>
        <v>2976529</v>
      </c>
      <c r="J247" s="209">
        <f t="shared" si="8"/>
        <v>5013572</v>
      </c>
      <c r="K247" s="209">
        <f>G247+H247+I247+J247</f>
        <v>9297761</v>
      </c>
      <c r="L247" s="209"/>
      <c r="M247" s="209"/>
      <c r="N247" s="209">
        <f t="shared" ref="N247:W247" si="9">N33+N49+N245</f>
        <v>463506</v>
      </c>
      <c r="O247" s="209">
        <f t="shared" si="9"/>
        <v>38181698</v>
      </c>
      <c r="P247" s="209">
        <f t="shared" si="9"/>
        <v>0</v>
      </c>
      <c r="Q247" s="209">
        <f t="shared" si="9"/>
        <v>45427772</v>
      </c>
      <c r="R247" s="209">
        <f t="shared" si="9"/>
        <v>84072976</v>
      </c>
      <c r="S247" s="209">
        <f t="shared" si="9"/>
        <v>-13405406</v>
      </c>
      <c r="T247" s="209">
        <f t="shared" si="9"/>
        <v>-1559196253</v>
      </c>
      <c r="U247" s="209">
        <f t="shared" si="9"/>
        <v>-1572601659</v>
      </c>
      <c r="V247" s="209">
        <f t="shared" si="9"/>
        <v>-74888682</v>
      </c>
      <c r="W247" s="209">
        <f t="shared" si="9"/>
        <v>-1647490341</v>
      </c>
      <c r="X247" s="209"/>
      <c r="Y247" s="347"/>
      <c r="Z247" s="347"/>
      <c r="AA247" s="347"/>
      <c r="AB247" s="347"/>
    </row>
    <row r="248" spans="2:28" x14ac:dyDescent="0.3">
      <c r="B248" s="213"/>
      <c r="C248" s="207"/>
      <c r="D248" s="294"/>
      <c r="E248" s="294"/>
      <c r="F248" s="294"/>
      <c r="G248" s="294"/>
      <c r="H248" s="294"/>
      <c r="I248" s="294"/>
      <c r="J248" s="294"/>
      <c r="K248" s="294"/>
      <c r="L248" s="294">
        <f t="shared" ref="L248:M248" si="10">L33+L49+L245-L247</f>
        <v>0</v>
      </c>
      <c r="M248" s="294">
        <f t="shared" si="10"/>
        <v>0</v>
      </c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  <c r="X248" s="209"/>
      <c r="Y248" s="347"/>
      <c r="Z248" s="347"/>
      <c r="AA248" s="347"/>
      <c r="AB248" s="347"/>
    </row>
    <row r="249" spans="2:28" ht="12" x14ac:dyDescent="0.45">
      <c r="B249" s="213"/>
      <c r="C249" s="207" t="s">
        <v>453</v>
      </c>
      <c r="D249" s="297">
        <v>0</v>
      </c>
      <c r="E249" s="297">
        <v>0</v>
      </c>
      <c r="F249" s="297">
        <v>0</v>
      </c>
      <c r="G249" s="330">
        <v>75296444</v>
      </c>
      <c r="H249" s="330">
        <v>75887441</v>
      </c>
      <c r="I249" s="330">
        <v>355050381</v>
      </c>
      <c r="J249" s="330">
        <v>126215625</v>
      </c>
      <c r="K249" s="330">
        <v>632449891</v>
      </c>
      <c r="L249" s="330"/>
      <c r="M249" s="330"/>
      <c r="N249" s="330">
        <v>65028088</v>
      </c>
      <c r="O249" s="330">
        <v>4538653250</v>
      </c>
      <c r="P249" s="330">
        <v>0</v>
      </c>
      <c r="Q249" s="330">
        <v>13168987</v>
      </c>
      <c r="R249" s="330">
        <v>4616850325</v>
      </c>
      <c r="S249" s="330">
        <v>0</v>
      </c>
      <c r="T249" s="330">
        <v>0</v>
      </c>
      <c r="U249" s="330">
        <v>0</v>
      </c>
      <c r="V249" s="330">
        <v>184719128</v>
      </c>
      <c r="W249" s="330">
        <v>184719128</v>
      </c>
      <c r="X249" s="209"/>
      <c r="Y249" s="347"/>
      <c r="Z249" s="347"/>
      <c r="AA249" s="347"/>
      <c r="AB249" s="347"/>
    </row>
    <row r="250" spans="2:28" x14ac:dyDescent="0.3">
      <c r="B250" s="213"/>
      <c r="C250" s="207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13"/>
      <c r="T250" s="209"/>
      <c r="U250" s="209"/>
      <c r="V250" s="209"/>
      <c r="W250" s="209"/>
      <c r="X250" s="209"/>
      <c r="Y250" s="347"/>
      <c r="Z250" s="347"/>
      <c r="AA250" s="347"/>
      <c r="AB250" s="347"/>
    </row>
    <row r="251" spans="2:28" ht="12" x14ac:dyDescent="0.45">
      <c r="C251" s="207" t="s">
        <v>716</v>
      </c>
      <c r="D251" s="329">
        <f t="shared" ref="D251:K251" si="11">D249+D247+D23</f>
        <v>443563957</v>
      </c>
      <c r="E251" s="329">
        <f t="shared" si="11"/>
        <v>14391476060</v>
      </c>
      <c r="F251" s="329">
        <f t="shared" si="11"/>
        <v>14835040017</v>
      </c>
      <c r="G251" s="329">
        <f t="shared" si="11"/>
        <v>72131537</v>
      </c>
      <c r="H251" s="329">
        <f t="shared" si="11"/>
        <v>79493691</v>
      </c>
      <c r="I251" s="329">
        <f t="shared" si="11"/>
        <v>366439403</v>
      </c>
      <c r="J251" s="329">
        <f t="shared" si="11"/>
        <v>147222528</v>
      </c>
      <c r="K251" s="329">
        <f t="shared" si="11"/>
        <v>665287159</v>
      </c>
      <c r="L251" s="329"/>
      <c r="M251" s="329"/>
      <c r="N251" s="329">
        <f t="shared" ref="N251:W251" si="12">N249+N247+N23</f>
        <v>76062528</v>
      </c>
      <c r="O251" s="329">
        <f t="shared" si="12"/>
        <v>4669735297</v>
      </c>
      <c r="P251" s="329">
        <f t="shared" si="12"/>
        <v>0</v>
      </c>
      <c r="Q251" s="329">
        <f t="shared" si="12"/>
        <v>147222517</v>
      </c>
      <c r="R251" s="329">
        <f t="shared" si="12"/>
        <v>4893020342</v>
      </c>
      <c r="S251" s="329">
        <f t="shared" si="12"/>
        <v>-50731421</v>
      </c>
      <c r="T251" s="329">
        <f t="shared" si="12"/>
        <v>-1598451408</v>
      </c>
      <c r="U251" s="329">
        <f t="shared" si="12"/>
        <v>-1649182829</v>
      </c>
      <c r="V251" s="329">
        <f t="shared" si="12"/>
        <v>-6939418</v>
      </c>
      <c r="W251" s="329">
        <f t="shared" si="12"/>
        <v>-1656122247</v>
      </c>
      <c r="X251" s="209"/>
      <c r="Y251" s="347"/>
      <c r="Z251" s="347"/>
      <c r="AA251" s="347"/>
      <c r="AB251" s="347"/>
    </row>
    <row r="252" spans="2:28" x14ac:dyDescent="0.3">
      <c r="C252" s="207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</row>
    <row r="253" spans="2:28" x14ac:dyDescent="0.3">
      <c r="C253" s="207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</row>
    <row r="254" spans="2:28" x14ac:dyDescent="0.3">
      <c r="C254" s="207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</row>
    <row r="255" spans="2:28" x14ac:dyDescent="0.3">
      <c r="C255" s="207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</row>
    <row r="256" spans="2:28" x14ac:dyDescent="0.3">
      <c r="C256" s="207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</row>
    <row r="257" spans="3:24" x14ac:dyDescent="0.3">
      <c r="C257" s="207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</row>
    <row r="258" spans="3:24" x14ac:dyDescent="0.3">
      <c r="C258" s="207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</row>
    <row r="259" spans="3:24" x14ac:dyDescent="0.3">
      <c r="C259" s="207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</row>
    <row r="260" spans="3:24" x14ac:dyDescent="0.3">
      <c r="C260" s="207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</row>
    <row r="261" spans="3:24" x14ac:dyDescent="0.3">
      <c r="C261" s="207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</row>
    <row r="262" spans="3:24" x14ac:dyDescent="0.3">
      <c r="C262" s="207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</row>
    <row r="263" spans="3:24" x14ac:dyDescent="0.3">
      <c r="C263" s="207"/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</row>
    <row r="264" spans="3:24" x14ac:dyDescent="0.3">
      <c r="C264" s="207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</row>
    <row r="265" spans="3:24" x14ac:dyDescent="0.3">
      <c r="C265" s="207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</row>
    <row r="266" spans="3:24" x14ac:dyDescent="0.3">
      <c r="C266" s="207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</row>
    <row r="267" spans="3:24" x14ac:dyDescent="0.3">
      <c r="C267" s="207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</row>
    <row r="268" spans="3:24" x14ac:dyDescent="0.3">
      <c r="C268" s="207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</row>
    <row r="269" spans="3:24" x14ac:dyDescent="0.3">
      <c r="C269" s="207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</row>
    <row r="270" spans="3:24" x14ac:dyDescent="0.3">
      <c r="C270" s="207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</row>
    <row r="271" spans="3:24" x14ac:dyDescent="0.3">
      <c r="C271" s="207"/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</row>
    <row r="272" spans="3:24" x14ac:dyDescent="0.3">
      <c r="C272" s="207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</row>
    <row r="273" spans="3:24" x14ac:dyDescent="0.3">
      <c r="C273" s="207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</row>
    <row r="274" spans="3:24" x14ac:dyDescent="0.3">
      <c r="C274" s="207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</row>
    <row r="275" spans="3:24" x14ac:dyDescent="0.3">
      <c r="C275" s="207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</row>
    <row r="276" spans="3:24" x14ac:dyDescent="0.3">
      <c r="C276" s="207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</row>
    <row r="277" spans="3:24" x14ac:dyDescent="0.3">
      <c r="C277" s="207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</row>
    <row r="278" spans="3:24" x14ac:dyDescent="0.3">
      <c r="C278" s="207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</row>
    <row r="279" spans="3:24" x14ac:dyDescent="0.3">
      <c r="C279" s="207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</row>
    <row r="280" spans="3:24" x14ac:dyDescent="0.3">
      <c r="C280" s="207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</row>
    <row r="281" spans="3:24" x14ac:dyDescent="0.3">
      <c r="C281" s="207"/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</row>
    <row r="282" spans="3:24" x14ac:dyDescent="0.3">
      <c r="C282" s="207"/>
      <c r="D282" s="209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</row>
    <row r="283" spans="3:24" x14ac:dyDescent="0.3">
      <c r="C283" s="207"/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</row>
    <row r="284" spans="3:24" x14ac:dyDescent="0.3">
      <c r="C284" s="207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</row>
    <row r="285" spans="3:24" x14ac:dyDescent="0.3">
      <c r="C285" s="207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 t="s">
        <v>303</v>
      </c>
      <c r="W285" s="209"/>
      <c r="X285" s="209"/>
    </row>
    <row r="286" spans="3:24" x14ac:dyDescent="0.3">
      <c r="C286" s="207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</row>
    <row r="287" spans="3:24" x14ac:dyDescent="0.3">
      <c r="C287" s="207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</row>
    <row r="288" spans="3:24" x14ac:dyDescent="0.3">
      <c r="C288" s="207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</row>
    <row r="289" spans="3:24" x14ac:dyDescent="0.3">
      <c r="C289" s="207"/>
      <c r="D289" s="209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</row>
    <row r="290" spans="3:24" x14ac:dyDescent="0.3">
      <c r="C290" s="207"/>
      <c r="D290" s="209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</row>
    <row r="291" spans="3:24" x14ac:dyDescent="0.3">
      <c r="C291" s="207"/>
      <c r="D291" s="209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</row>
    <row r="292" spans="3:24" x14ac:dyDescent="0.3">
      <c r="C292" s="207"/>
      <c r="D292" s="209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</row>
    <row r="293" spans="3:24" x14ac:dyDescent="0.3">
      <c r="C293" s="207"/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</row>
    <row r="294" spans="3:24" x14ac:dyDescent="0.3">
      <c r="C294" s="207"/>
      <c r="D294" s="209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</row>
    <row r="295" spans="3:24" x14ac:dyDescent="0.3">
      <c r="C295" s="207"/>
      <c r="D295" s="209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</row>
    <row r="296" spans="3:24" x14ac:dyDescent="0.3">
      <c r="C296" s="207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</row>
    <row r="297" spans="3:24" x14ac:dyDescent="0.3">
      <c r="C297" s="207"/>
      <c r="D297" s="209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</row>
    <row r="298" spans="3:24" x14ac:dyDescent="0.3">
      <c r="C298" s="207"/>
      <c r="D298" s="209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</row>
    <row r="299" spans="3:24" x14ac:dyDescent="0.3">
      <c r="C299" s="207"/>
      <c r="D299" s="209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</row>
    <row r="300" spans="3:24" x14ac:dyDescent="0.3">
      <c r="C300" s="207"/>
      <c r="D300" s="209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</row>
    <row r="301" spans="3:24" x14ac:dyDescent="0.3">
      <c r="C301" s="207"/>
      <c r="D301" s="209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</row>
    <row r="302" spans="3:24" x14ac:dyDescent="0.3">
      <c r="C302" s="207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</row>
    <row r="303" spans="3:24" x14ac:dyDescent="0.3">
      <c r="C303" s="207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</row>
    <row r="304" spans="3:24" x14ac:dyDescent="0.3">
      <c r="C304" s="207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</row>
    <row r="305" spans="3:24" x14ac:dyDescent="0.3">
      <c r="C305" s="207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</row>
    <row r="306" spans="3:24" x14ac:dyDescent="0.3">
      <c r="C306" s="207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</row>
    <row r="307" spans="3:24" x14ac:dyDescent="0.3">
      <c r="C307" s="207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</row>
    <row r="308" spans="3:24" x14ac:dyDescent="0.3">
      <c r="C308" s="207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</row>
    <row r="309" spans="3:24" x14ac:dyDescent="0.3">
      <c r="C309" s="207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</row>
    <row r="310" spans="3:24" x14ac:dyDescent="0.3">
      <c r="C310" s="207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</row>
    <row r="311" spans="3:24" x14ac:dyDescent="0.3">
      <c r="C311" s="207"/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  <c r="W311" s="209"/>
      <c r="X311" s="209"/>
    </row>
    <row r="312" spans="3:24" x14ac:dyDescent="0.3">
      <c r="C312" s="207"/>
      <c r="D312" s="209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  <c r="W312" s="209"/>
      <c r="X312" s="209"/>
    </row>
    <row r="313" spans="3:24" x14ac:dyDescent="0.3">
      <c r="C313" s="207"/>
      <c r="D313" s="209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  <c r="W313" s="209"/>
      <c r="X313" s="209"/>
    </row>
    <row r="314" spans="3:24" x14ac:dyDescent="0.3">
      <c r="C314" s="207"/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</row>
    <row r="315" spans="3:24" x14ac:dyDescent="0.3">
      <c r="C315" s="207"/>
      <c r="D315" s="209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</row>
    <row r="316" spans="3:24" x14ac:dyDescent="0.3">
      <c r="C316" s="207"/>
      <c r="D316" s="209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</row>
    <row r="317" spans="3:24" x14ac:dyDescent="0.3">
      <c r="C317" s="207"/>
      <c r="D317" s="209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</row>
    <row r="318" spans="3:24" x14ac:dyDescent="0.3">
      <c r="C318" s="207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</row>
    <row r="319" spans="3:24" x14ac:dyDescent="0.3">
      <c r="C319" s="207"/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  <c r="W319" s="209"/>
      <c r="X319" s="209"/>
    </row>
    <row r="320" spans="3:24" x14ac:dyDescent="0.3">
      <c r="C320" s="207"/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</row>
    <row r="321" spans="3:24" x14ac:dyDescent="0.3">
      <c r="C321" s="207"/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  <c r="W321" s="209"/>
      <c r="X321" s="209"/>
    </row>
    <row r="322" spans="3:24" x14ac:dyDescent="0.3">
      <c r="C322" s="207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</row>
    <row r="323" spans="3:24" x14ac:dyDescent="0.3">
      <c r="C323" s="207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</row>
    <row r="324" spans="3:24" x14ac:dyDescent="0.3">
      <c r="C324" s="207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</row>
    <row r="325" spans="3:24" x14ac:dyDescent="0.3">
      <c r="C325" s="207"/>
      <c r="D325" s="209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</row>
    <row r="326" spans="3:24" x14ac:dyDescent="0.3">
      <c r="C326" s="207"/>
      <c r="D326" s="209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  <c r="W326" s="209"/>
      <c r="X326" s="209"/>
    </row>
    <row r="327" spans="3:24" x14ac:dyDescent="0.3">
      <c r="C327" s="207"/>
      <c r="D327" s="209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</row>
    <row r="328" spans="3:24" x14ac:dyDescent="0.3">
      <c r="C328" s="207"/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</row>
    <row r="329" spans="3:24" x14ac:dyDescent="0.3">
      <c r="C329" s="207"/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</row>
    <row r="330" spans="3:24" x14ac:dyDescent="0.3">
      <c r="C330" s="207"/>
      <c r="D330" s="209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</row>
    <row r="331" spans="3:24" x14ac:dyDescent="0.3">
      <c r="C331" s="207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</row>
    <row r="332" spans="3:24" x14ac:dyDescent="0.3">
      <c r="C332" s="207"/>
      <c r="D332" s="209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</row>
    <row r="333" spans="3:24" x14ac:dyDescent="0.3">
      <c r="C333" s="207"/>
      <c r="D333" s="209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</row>
    <row r="334" spans="3:24" x14ac:dyDescent="0.3">
      <c r="C334" s="207"/>
      <c r="D334" s="209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</row>
    <row r="335" spans="3:24" x14ac:dyDescent="0.3">
      <c r="C335" s="207"/>
      <c r="D335" s="209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</row>
    <row r="336" spans="3:24" x14ac:dyDescent="0.3">
      <c r="C336" s="207"/>
      <c r="D336" s="209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</row>
    <row r="337" spans="3:24" x14ac:dyDescent="0.3">
      <c r="C337" s="207"/>
      <c r="D337" s="209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</row>
    <row r="338" spans="3:24" x14ac:dyDescent="0.3">
      <c r="C338" s="207"/>
      <c r="D338" s="209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</row>
    <row r="339" spans="3:24" x14ac:dyDescent="0.3">
      <c r="C339" s="207"/>
      <c r="D339" s="209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  <c r="W339" s="209"/>
      <c r="X339" s="209"/>
    </row>
    <row r="340" spans="3:24" x14ac:dyDescent="0.3">
      <c r="C340" s="207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  <c r="W340" s="209"/>
      <c r="X340" s="209"/>
    </row>
    <row r="341" spans="3:24" x14ac:dyDescent="0.3">
      <c r="C341" s="207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  <c r="W341" s="209"/>
      <c r="X341" s="209"/>
    </row>
    <row r="342" spans="3:24" x14ac:dyDescent="0.3">
      <c r="C342" s="207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</row>
    <row r="343" spans="3:24" x14ac:dyDescent="0.3">
      <c r="C343" s="207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</row>
    <row r="344" spans="3:24" x14ac:dyDescent="0.3">
      <c r="C344" s="207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</row>
    <row r="345" spans="3:24" x14ac:dyDescent="0.3">
      <c r="C345" s="207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</row>
    <row r="346" spans="3:24" x14ac:dyDescent="0.3">
      <c r="C346" s="207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</row>
    <row r="347" spans="3:24" x14ac:dyDescent="0.3">
      <c r="C347" s="207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  <c r="W347" s="209"/>
      <c r="X347" s="209"/>
    </row>
    <row r="348" spans="3:24" x14ac:dyDescent="0.3">
      <c r="C348" s="207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  <c r="W348" s="209"/>
      <c r="X348" s="209"/>
    </row>
    <row r="349" spans="3:24" x14ac:dyDescent="0.3">
      <c r="C349" s="207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</row>
    <row r="350" spans="3:24" x14ac:dyDescent="0.3">
      <c r="C350" s="207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</row>
    <row r="351" spans="3:24" x14ac:dyDescent="0.3">
      <c r="C351" s="207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</row>
    <row r="352" spans="3:24" x14ac:dyDescent="0.3">
      <c r="C352" s="207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</row>
    <row r="353" spans="3:24" x14ac:dyDescent="0.3">
      <c r="C353" s="207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</row>
    <row r="354" spans="3:24" x14ac:dyDescent="0.3">
      <c r="C354" s="207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</row>
    <row r="355" spans="3:24" x14ac:dyDescent="0.3">
      <c r="C355" s="207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</row>
    <row r="356" spans="3:24" x14ac:dyDescent="0.3">
      <c r="C356" s="207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</row>
    <row r="357" spans="3:24" x14ac:dyDescent="0.3">
      <c r="C357" s="207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</row>
    <row r="358" spans="3:24" x14ac:dyDescent="0.3">
      <c r="C358" s="207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</row>
    <row r="359" spans="3:24" x14ac:dyDescent="0.3">
      <c r="C359" s="207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</row>
    <row r="360" spans="3:24" x14ac:dyDescent="0.3">
      <c r="C360" s="207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</row>
    <row r="361" spans="3:24" x14ac:dyDescent="0.3">
      <c r="C361" s="207"/>
      <c r="D361" s="209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</row>
    <row r="362" spans="3:24" x14ac:dyDescent="0.3">
      <c r="C362" s="207"/>
      <c r="D362" s="209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  <c r="W362" s="209"/>
      <c r="X362" s="209"/>
    </row>
    <row r="363" spans="3:24" x14ac:dyDescent="0.3">
      <c r="C363" s="207"/>
      <c r="D363" s="209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</row>
    <row r="364" spans="3:24" x14ac:dyDescent="0.3">
      <c r="C364" s="207"/>
      <c r="D364" s="209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</row>
    <row r="365" spans="3:24" x14ac:dyDescent="0.3">
      <c r="C365" s="207"/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</row>
    <row r="366" spans="3:24" x14ac:dyDescent="0.3">
      <c r="C366" s="207"/>
      <c r="D366" s="209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</row>
    <row r="367" spans="3:24" x14ac:dyDescent="0.3">
      <c r="C367" s="207"/>
      <c r="D367" s="209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  <c r="W367" s="209"/>
      <c r="X367" s="209"/>
    </row>
    <row r="368" spans="3:24" x14ac:dyDescent="0.3">
      <c r="C368" s="207"/>
      <c r="D368" s="209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  <c r="W368" s="209"/>
      <c r="X368" s="209"/>
    </row>
    <row r="369" spans="3:24" x14ac:dyDescent="0.3">
      <c r="C369" s="207"/>
      <c r="D369" s="209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</row>
    <row r="370" spans="3:24" x14ac:dyDescent="0.3">
      <c r="C370" s="207"/>
      <c r="D370" s="209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</row>
    <row r="371" spans="3:24" x14ac:dyDescent="0.3">
      <c r="C371" s="207"/>
      <c r="D371" s="209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</row>
    <row r="372" spans="3:24" x14ac:dyDescent="0.3">
      <c r="C372" s="207"/>
      <c r="D372" s="209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</row>
    <row r="373" spans="3:24" x14ac:dyDescent="0.3">
      <c r="C373" s="207"/>
      <c r="D373" s="209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  <c r="W373" s="209"/>
      <c r="X373" s="209"/>
    </row>
    <row r="374" spans="3:24" x14ac:dyDescent="0.3">
      <c r="C374" s="207"/>
      <c r="D374" s="209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  <c r="W374" s="209"/>
      <c r="X374" s="209"/>
    </row>
    <row r="375" spans="3:24" x14ac:dyDescent="0.3">
      <c r="C375" s="207"/>
      <c r="D375" s="209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  <c r="W375" s="209"/>
      <c r="X375" s="209"/>
    </row>
    <row r="376" spans="3:24" x14ac:dyDescent="0.3">
      <c r="C376" s="207"/>
      <c r="D376" s="209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  <c r="W376" s="209"/>
      <c r="X376" s="209"/>
    </row>
    <row r="377" spans="3:24" x14ac:dyDescent="0.3">
      <c r="C377" s="207"/>
      <c r="D377" s="209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  <c r="W377" s="209"/>
      <c r="X377" s="209"/>
    </row>
    <row r="378" spans="3:24" x14ac:dyDescent="0.3">
      <c r="C378" s="207"/>
      <c r="D378" s="209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  <c r="W378" s="209"/>
      <c r="X378" s="209"/>
    </row>
    <row r="379" spans="3:24" x14ac:dyDescent="0.3">
      <c r="C379" s="207"/>
      <c r="D379" s="209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  <c r="W379" s="209"/>
      <c r="X379" s="209"/>
    </row>
    <row r="380" spans="3:24" x14ac:dyDescent="0.3">
      <c r="C380" s="207"/>
      <c r="D380" s="209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  <c r="W380" s="209"/>
      <c r="X380" s="209"/>
    </row>
    <row r="381" spans="3:24" x14ac:dyDescent="0.3">
      <c r="C381" s="207"/>
      <c r="D381" s="209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  <c r="W381" s="209"/>
      <c r="X381" s="209"/>
    </row>
    <row r="382" spans="3:24" x14ac:dyDescent="0.3">
      <c r="C382" s="207"/>
      <c r="D382" s="209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  <c r="W382" s="209"/>
      <c r="X382" s="209"/>
    </row>
    <row r="383" spans="3:24" x14ac:dyDescent="0.3">
      <c r="C383" s="207"/>
      <c r="D383" s="209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  <c r="W383" s="209"/>
      <c r="X383" s="209"/>
    </row>
    <row r="384" spans="3:24" x14ac:dyDescent="0.3">
      <c r="C384" s="207"/>
      <c r="D384" s="209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</row>
    <row r="385" spans="3:24" x14ac:dyDescent="0.3">
      <c r="C385" s="207"/>
      <c r="D385" s="209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</row>
    <row r="386" spans="3:24" x14ac:dyDescent="0.3">
      <c r="C386" s="207"/>
      <c r="D386" s="209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</row>
    <row r="387" spans="3:24" x14ac:dyDescent="0.3">
      <c r="C387" s="207"/>
      <c r="D387" s="209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</row>
    <row r="388" spans="3:24" x14ac:dyDescent="0.3">
      <c r="C388" s="207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</row>
    <row r="389" spans="3:24" x14ac:dyDescent="0.3">
      <c r="C389" s="207"/>
      <c r="D389" s="209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  <c r="W389" s="209"/>
      <c r="X389" s="209"/>
    </row>
    <row r="390" spans="3:24" x14ac:dyDescent="0.3">
      <c r="C390" s="207"/>
      <c r="D390" s="209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  <c r="W390" s="209"/>
      <c r="X390" s="209"/>
    </row>
    <row r="391" spans="3:24" x14ac:dyDescent="0.3">
      <c r="C391" s="207"/>
      <c r="D391" s="209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  <c r="W391" s="209"/>
      <c r="X391" s="209"/>
    </row>
    <row r="392" spans="3:24" x14ac:dyDescent="0.3">
      <c r="C392" s="207"/>
      <c r="D392" s="209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  <c r="W392" s="209"/>
      <c r="X392" s="209"/>
    </row>
    <row r="393" spans="3:24" x14ac:dyDescent="0.3">
      <c r="C393" s="207"/>
      <c r="D393" s="209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  <c r="W393" s="209"/>
      <c r="X393" s="209"/>
    </row>
    <row r="394" spans="3:24" x14ac:dyDescent="0.3">
      <c r="C394" s="207"/>
      <c r="D394" s="209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  <c r="W394" s="209"/>
      <c r="X394" s="209"/>
    </row>
    <row r="395" spans="3:24" x14ac:dyDescent="0.3">
      <c r="C395" s="207"/>
      <c r="D395" s="209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  <c r="W395" s="209"/>
      <c r="X395" s="209"/>
    </row>
    <row r="396" spans="3:24" x14ac:dyDescent="0.3">
      <c r="C396" s="207"/>
      <c r="D396" s="209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  <c r="W396" s="209"/>
      <c r="X396" s="209"/>
    </row>
    <row r="397" spans="3:24" x14ac:dyDescent="0.3">
      <c r="C397" s="207"/>
      <c r="D397" s="209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</row>
    <row r="398" spans="3:24" x14ac:dyDescent="0.3">
      <c r="C398" s="207"/>
      <c r="D398" s="209"/>
      <c r="E398" s="209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  <c r="W398" s="209"/>
      <c r="X398" s="209"/>
    </row>
    <row r="399" spans="3:24" x14ac:dyDescent="0.3">
      <c r="C399" s="207"/>
      <c r="D399" s="209"/>
      <c r="E399" s="209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  <c r="W399" s="209"/>
      <c r="X399" s="209"/>
    </row>
    <row r="400" spans="3:24" x14ac:dyDescent="0.3">
      <c r="C400" s="207"/>
      <c r="D400" s="209"/>
      <c r="E400" s="209"/>
      <c r="F400" s="209"/>
      <c r="G400" s="209"/>
      <c r="H400" s="209"/>
      <c r="I400" s="209"/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  <c r="W400" s="209"/>
      <c r="X400" s="209"/>
    </row>
    <row r="401" spans="3:24" x14ac:dyDescent="0.3">
      <c r="C401" s="207"/>
      <c r="D401" s="209"/>
      <c r="E401" s="209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  <c r="W401" s="209"/>
      <c r="X401" s="209"/>
    </row>
    <row r="402" spans="3:24" x14ac:dyDescent="0.3">
      <c r="C402" s="207"/>
      <c r="D402" s="209"/>
      <c r="E402" s="209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  <c r="W402" s="209"/>
      <c r="X402" s="209"/>
    </row>
    <row r="403" spans="3:24" x14ac:dyDescent="0.3">
      <c r="C403" s="207"/>
      <c r="D403" s="209"/>
      <c r="E403" s="209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09"/>
    </row>
    <row r="404" spans="3:24" x14ac:dyDescent="0.3">
      <c r="C404" s="207"/>
      <c r="D404" s="209"/>
      <c r="E404" s="209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209"/>
    </row>
    <row r="405" spans="3:24" x14ac:dyDescent="0.3">
      <c r="C405" s="207"/>
      <c r="D405" s="209"/>
      <c r="E405" s="209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209"/>
    </row>
    <row r="406" spans="3:24" x14ac:dyDescent="0.3">
      <c r="C406" s="207"/>
      <c r="D406" s="209"/>
      <c r="E406" s="209"/>
      <c r="F406" s="209"/>
      <c r="G406" s="209"/>
      <c r="H406" s="209"/>
      <c r="I406" s="209"/>
      <c r="J406" s="209"/>
      <c r="K406" s="209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209"/>
    </row>
    <row r="407" spans="3:24" x14ac:dyDescent="0.3">
      <c r="C407" s="207"/>
      <c r="D407" s="209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09"/>
      <c r="W407" s="209"/>
      <c r="X407" s="209"/>
    </row>
    <row r="408" spans="3:24" x14ac:dyDescent="0.3">
      <c r="C408" s="207"/>
      <c r="D408" s="209"/>
      <c r="E408" s="209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  <c r="W408" s="209"/>
      <c r="X408" s="209"/>
    </row>
    <row r="409" spans="3:24" x14ac:dyDescent="0.3">
      <c r="C409" s="207"/>
      <c r="D409" s="209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</row>
    <row r="410" spans="3:24" x14ac:dyDescent="0.3">
      <c r="C410" s="207"/>
      <c r="D410" s="209"/>
      <c r="E410" s="209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</row>
    <row r="411" spans="3:24" x14ac:dyDescent="0.3">
      <c r="C411" s="207"/>
      <c r="D411" s="209"/>
      <c r="E411" s="209"/>
      <c r="F411" s="209"/>
      <c r="G411" s="209"/>
      <c r="H411" s="209"/>
      <c r="I411" s="209"/>
      <c r="J411" s="209"/>
      <c r="K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09"/>
      <c r="W411" s="209"/>
      <c r="X411" s="209"/>
    </row>
    <row r="412" spans="3:24" x14ac:dyDescent="0.3">
      <c r="C412" s="207"/>
      <c r="D412" s="209"/>
      <c r="E412" s="209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</row>
    <row r="413" spans="3:24" x14ac:dyDescent="0.3">
      <c r="C413" s="207"/>
      <c r="D413" s="209"/>
      <c r="E413" s="209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</row>
    <row r="414" spans="3:24" x14ac:dyDescent="0.3">
      <c r="C414" s="207"/>
      <c r="D414" s="209"/>
      <c r="E414" s="209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</row>
    <row r="415" spans="3:24" x14ac:dyDescent="0.3">
      <c r="C415" s="207"/>
      <c r="D415" s="209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</row>
    <row r="416" spans="3:24" x14ac:dyDescent="0.3">
      <c r="C416" s="207"/>
      <c r="D416" s="209"/>
      <c r="E416" s="209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</row>
    <row r="417" spans="3:24" x14ac:dyDescent="0.3">
      <c r="C417" s="207"/>
      <c r="D417" s="209"/>
      <c r="E417" s="209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09"/>
      <c r="W417" s="209"/>
      <c r="X417" s="209"/>
    </row>
    <row r="418" spans="3:24" x14ac:dyDescent="0.3">
      <c r="C418" s="207"/>
      <c r="D418" s="209"/>
      <c r="E418" s="209"/>
      <c r="F418" s="209"/>
      <c r="G418" s="209"/>
      <c r="H418" s="209"/>
      <c r="I418" s="209"/>
      <c r="J418" s="209"/>
      <c r="K418" s="209"/>
      <c r="L418" s="209"/>
      <c r="M418" s="209"/>
      <c r="N418" s="209"/>
      <c r="O418" s="209"/>
      <c r="P418" s="209"/>
      <c r="Q418" s="209"/>
      <c r="R418" s="209"/>
      <c r="S418" s="209"/>
      <c r="T418" s="209"/>
      <c r="U418" s="209"/>
      <c r="V418" s="209"/>
      <c r="W418" s="209"/>
      <c r="X418" s="209"/>
    </row>
    <row r="419" spans="3:24" x14ac:dyDescent="0.3">
      <c r="C419" s="207"/>
      <c r="D419" s="209"/>
      <c r="E419" s="209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09"/>
      <c r="Q419" s="209"/>
      <c r="R419" s="209"/>
      <c r="S419" s="209"/>
      <c r="T419" s="209"/>
      <c r="U419" s="209"/>
      <c r="V419" s="209"/>
      <c r="W419" s="209"/>
      <c r="X419" s="209"/>
    </row>
    <row r="420" spans="3:24" x14ac:dyDescent="0.3">
      <c r="C420" s="207"/>
      <c r="D420" s="209"/>
      <c r="E420" s="209"/>
      <c r="F420" s="209"/>
      <c r="G420" s="209"/>
      <c r="H420" s="209"/>
      <c r="I420" s="209"/>
      <c r="J420" s="209"/>
      <c r="K420" s="209"/>
      <c r="L420" s="209"/>
      <c r="M420" s="209"/>
      <c r="N420" s="209"/>
      <c r="O420" s="209"/>
      <c r="P420" s="209"/>
      <c r="Q420" s="209"/>
      <c r="R420" s="209"/>
      <c r="S420" s="209"/>
      <c r="T420" s="209"/>
      <c r="U420" s="209"/>
      <c r="V420" s="209"/>
      <c r="W420" s="209"/>
      <c r="X420" s="209"/>
    </row>
    <row r="421" spans="3:24" x14ac:dyDescent="0.3">
      <c r="C421" s="207"/>
      <c r="D421" s="209"/>
      <c r="E421" s="209"/>
      <c r="F421" s="209"/>
      <c r="G421" s="209"/>
      <c r="H421" s="209"/>
      <c r="I421" s="209"/>
      <c r="J421" s="209"/>
      <c r="K421" s="209"/>
      <c r="L421" s="209"/>
      <c r="M421" s="209"/>
      <c r="N421" s="209"/>
      <c r="O421" s="209"/>
      <c r="P421" s="209"/>
      <c r="Q421" s="209"/>
      <c r="R421" s="209"/>
      <c r="S421" s="209"/>
      <c r="T421" s="209"/>
      <c r="U421" s="209"/>
      <c r="V421" s="209"/>
      <c r="W421" s="209"/>
      <c r="X421" s="209"/>
    </row>
    <row r="422" spans="3:24" x14ac:dyDescent="0.3">
      <c r="C422" s="207"/>
      <c r="D422" s="209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09"/>
      <c r="U422" s="209"/>
      <c r="V422" s="209"/>
      <c r="W422" s="209"/>
      <c r="X422" s="209"/>
    </row>
    <row r="423" spans="3:24" x14ac:dyDescent="0.3">
      <c r="C423" s="207"/>
      <c r="D423" s="209"/>
      <c r="E423" s="209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09"/>
      <c r="W423" s="209"/>
      <c r="X423" s="209"/>
    </row>
    <row r="424" spans="3:24" x14ac:dyDescent="0.3">
      <c r="C424" s="207"/>
      <c r="D424" s="209"/>
      <c r="E424" s="209"/>
      <c r="F424" s="209"/>
      <c r="G424" s="209"/>
      <c r="H424" s="209"/>
      <c r="I424" s="209"/>
      <c r="J424" s="209"/>
      <c r="K424" s="209"/>
      <c r="L424" s="209"/>
      <c r="M424" s="209"/>
      <c r="N424" s="209"/>
      <c r="O424" s="209"/>
      <c r="P424" s="209"/>
      <c r="Q424" s="209"/>
      <c r="R424" s="209"/>
      <c r="S424" s="209"/>
      <c r="T424" s="209"/>
      <c r="U424" s="209"/>
      <c r="V424" s="209"/>
      <c r="W424" s="209"/>
      <c r="X424" s="209"/>
    </row>
    <row r="425" spans="3:24" x14ac:dyDescent="0.3">
      <c r="C425" s="207"/>
      <c r="D425" s="209"/>
      <c r="E425" s="209"/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  <c r="W425" s="209"/>
      <c r="X425" s="209"/>
    </row>
    <row r="426" spans="3:24" x14ac:dyDescent="0.3">
      <c r="C426" s="207"/>
      <c r="D426" s="209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</row>
    <row r="427" spans="3:24" x14ac:dyDescent="0.3">
      <c r="C427" s="207"/>
      <c r="D427" s="209"/>
      <c r="E427" s="209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  <c r="W427" s="209"/>
      <c r="X427" s="209"/>
    </row>
    <row r="428" spans="3:24" x14ac:dyDescent="0.3">
      <c r="C428" s="207"/>
      <c r="D428" s="209"/>
      <c r="E428" s="209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09"/>
      <c r="Q428" s="209"/>
      <c r="R428" s="209"/>
      <c r="S428" s="209"/>
      <c r="T428" s="209"/>
      <c r="U428" s="209"/>
      <c r="V428" s="209"/>
      <c r="W428" s="209"/>
      <c r="X428" s="209"/>
    </row>
    <row r="429" spans="3:24" x14ac:dyDescent="0.3">
      <c r="C429" s="207"/>
      <c r="D429" s="209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09"/>
      <c r="W429" s="209"/>
      <c r="X429" s="209"/>
    </row>
    <row r="430" spans="3:24" x14ac:dyDescent="0.3">
      <c r="C430" s="207"/>
      <c r="D430" s="209"/>
      <c r="E430" s="209"/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09"/>
      <c r="W430" s="209"/>
      <c r="X430" s="209"/>
    </row>
    <row r="431" spans="3:24" x14ac:dyDescent="0.3">
      <c r="C431" s="207"/>
      <c r="D431" s="209"/>
      <c r="E431" s="209"/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09"/>
      <c r="Q431" s="209"/>
      <c r="R431" s="209"/>
      <c r="S431" s="209"/>
      <c r="T431" s="209"/>
      <c r="U431" s="209"/>
      <c r="V431" s="209"/>
      <c r="W431" s="209"/>
      <c r="X431" s="209"/>
    </row>
    <row r="432" spans="3:24" x14ac:dyDescent="0.3">
      <c r="C432" s="207"/>
      <c r="D432" s="209"/>
      <c r="E432" s="209"/>
      <c r="F432" s="209"/>
      <c r="G432" s="209"/>
      <c r="H432" s="209"/>
      <c r="I432" s="209"/>
      <c r="J432" s="209"/>
      <c r="K432" s="209"/>
      <c r="L432" s="209"/>
      <c r="M432" s="209"/>
      <c r="N432" s="209"/>
      <c r="O432" s="209"/>
      <c r="P432" s="209"/>
      <c r="Q432" s="209"/>
      <c r="R432" s="209"/>
      <c r="S432" s="209"/>
      <c r="T432" s="209"/>
      <c r="U432" s="209"/>
      <c r="V432" s="209"/>
      <c r="W432" s="209"/>
      <c r="X432" s="209"/>
    </row>
    <row r="433" spans="3:24" x14ac:dyDescent="0.3">
      <c r="C433" s="207"/>
      <c r="D433" s="209"/>
      <c r="E433" s="209"/>
      <c r="F433" s="209"/>
      <c r="G433" s="209"/>
      <c r="H433" s="209"/>
      <c r="I433" s="209"/>
      <c r="J433" s="209"/>
      <c r="K433" s="209"/>
      <c r="L433" s="209"/>
      <c r="M433" s="209"/>
      <c r="N433" s="209"/>
      <c r="O433" s="209"/>
      <c r="P433" s="209"/>
      <c r="Q433" s="209"/>
      <c r="R433" s="209"/>
      <c r="S433" s="209"/>
      <c r="T433" s="209"/>
      <c r="U433" s="209"/>
      <c r="V433" s="209"/>
      <c r="W433" s="209"/>
      <c r="X433" s="209"/>
    </row>
    <row r="434" spans="3:24" x14ac:dyDescent="0.3">
      <c r="C434" s="207"/>
      <c r="D434" s="209"/>
      <c r="E434" s="209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  <c r="W434" s="209"/>
      <c r="X434" s="209"/>
    </row>
    <row r="435" spans="3:24" x14ac:dyDescent="0.3">
      <c r="C435" s="207"/>
      <c r="D435" s="209"/>
      <c r="E435" s="209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  <c r="W435" s="209"/>
      <c r="X435" s="209"/>
    </row>
    <row r="436" spans="3:24" x14ac:dyDescent="0.3">
      <c r="C436" s="207"/>
      <c r="D436" s="209"/>
      <c r="E436" s="209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09"/>
      <c r="W436" s="209"/>
      <c r="X436" s="209"/>
    </row>
    <row r="437" spans="3:24" x14ac:dyDescent="0.3">
      <c r="C437" s="207"/>
      <c r="D437" s="209"/>
      <c r="E437" s="209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09"/>
      <c r="Q437" s="209"/>
      <c r="R437" s="209"/>
      <c r="S437" s="209"/>
      <c r="T437" s="209"/>
      <c r="U437" s="209"/>
      <c r="V437" s="209"/>
      <c r="W437" s="209"/>
      <c r="X437" s="209"/>
    </row>
    <row r="438" spans="3:24" x14ac:dyDescent="0.3">
      <c r="C438" s="207"/>
      <c r="D438" s="209"/>
      <c r="E438" s="209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  <c r="W438" s="209"/>
      <c r="X438" s="209"/>
    </row>
    <row r="439" spans="3:24" x14ac:dyDescent="0.3">
      <c r="C439" s="207"/>
      <c r="D439" s="209"/>
      <c r="E439" s="209"/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09"/>
      <c r="W439" s="209"/>
      <c r="X439" s="209"/>
    </row>
    <row r="440" spans="3:24" x14ac:dyDescent="0.3">
      <c r="C440" s="207"/>
      <c r="D440" s="209"/>
      <c r="E440" s="209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209"/>
    </row>
    <row r="441" spans="3:24" x14ac:dyDescent="0.3">
      <c r="C441" s="207"/>
      <c r="D441" s="209"/>
      <c r="E441" s="209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</row>
    <row r="442" spans="3:24" x14ac:dyDescent="0.3">
      <c r="C442" s="207"/>
      <c r="D442" s="209"/>
      <c r="E442" s="209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</row>
    <row r="443" spans="3:24" x14ac:dyDescent="0.3">
      <c r="C443" s="207"/>
      <c r="D443" s="209"/>
      <c r="E443" s="209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</row>
    <row r="444" spans="3:24" x14ac:dyDescent="0.3">
      <c r="C444" s="207"/>
      <c r="D444" s="209"/>
      <c r="E444" s="209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</row>
    <row r="445" spans="3:24" x14ac:dyDescent="0.3">
      <c r="C445" s="207"/>
      <c r="D445" s="209"/>
      <c r="E445" s="209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209"/>
    </row>
    <row r="446" spans="3:24" x14ac:dyDescent="0.3">
      <c r="C446" s="207"/>
      <c r="D446" s="209"/>
      <c r="E446" s="209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  <c r="W446" s="209"/>
      <c r="X446" s="209"/>
    </row>
    <row r="447" spans="3:24" x14ac:dyDescent="0.3">
      <c r="C447" s="207"/>
      <c r="D447" s="209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09"/>
      <c r="W447" s="209"/>
      <c r="X447" s="209"/>
    </row>
    <row r="448" spans="3:24" x14ac:dyDescent="0.3">
      <c r="C448" s="207"/>
      <c r="D448" s="209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  <c r="W448" s="209"/>
      <c r="X448" s="209"/>
    </row>
    <row r="449" spans="3:24" x14ac:dyDescent="0.3">
      <c r="C449" s="207"/>
      <c r="D449" s="209"/>
      <c r="E449" s="209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209"/>
    </row>
    <row r="450" spans="3:24" x14ac:dyDescent="0.3">
      <c r="C450" s="207"/>
      <c r="D450" s="209"/>
      <c r="E450" s="209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</row>
    <row r="451" spans="3:24" x14ac:dyDescent="0.3">
      <c r="C451" s="207"/>
      <c r="D451" s="209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</row>
    <row r="452" spans="3:24" x14ac:dyDescent="0.3">
      <c r="C452" s="207"/>
      <c r="D452" s="209"/>
      <c r="E452" s="209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  <c r="W452" s="209"/>
      <c r="X452" s="209"/>
    </row>
    <row r="453" spans="3:24" x14ac:dyDescent="0.3">
      <c r="C453" s="207"/>
      <c r="D453" s="209"/>
      <c r="E453" s="209"/>
      <c r="F453" s="209"/>
      <c r="G453" s="209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</row>
    <row r="454" spans="3:24" x14ac:dyDescent="0.3">
      <c r="C454" s="207"/>
      <c r="D454" s="209"/>
      <c r="E454" s="209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</row>
    <row r="455" spans="3:24" x14ac:dyDescent="0.3">
      <c r="C455" s="207"/>
      <c r="D455" s="209"/>
      <c r="E455" s="209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</row>
    <row r="456" spans="3:24" x14ac:dyDescent="0.3">
      <c r="C456" s="207"/>
      <c r="D456" s="209"/>
      <c r="E456" s="209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</row>
    <row r="457" spans="3:24" x14ac:dyDescent="0.3">
      <c r="C457" s="207"/>
      <c r="D457" s="209"/>
      <c r="E457" s="209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</row>
    <row r="458" spans="3:24" x14ac:dyDescent="0.3">
      <c r="C458" s="207"/>
      <c r="D458" s="209"/>
      <c r="E458" s="209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</row>
    <row r="459" spans="3:24" x14ac:dyDescent="0.3">
      <c r="C459" s="207"/>
      <c r="D459" s="209"/>
      <c r="E459" s="209"/>
      <c r="F459" s="209"/>
      <c r="G459" s="209"/>
      <c r="H459" s="209"/>
      <c r="I459" s="209"/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</row>
    <row r="460" spans="3:24" x14ac:dyDescent="0.3">
      <c r="C460" s="207"/>
      <c r="D460" s="209"/>
      <c r="E460" s="209"/>
      <c r="F460" s="209"/>
      <c r="G460" s="209"/>
      <c r="H460" s="209"/>
      <c r="I460" s="209"/>
      <c r="J460" s="209"/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</row>
    <row r="461" spans="3:24" x14ac:dyDescent="0.3">
      <c r="C461" s="207"/>
      <c r="D461" s="209"/>
      <c r="E461" s="209"/>
      <c r="F461" s="209"/>
      <c r="G461" s="209"/>
      <c r="H461" s="209"/>
      <c r="I461" s="209"/>
      <c r="J461" s="209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</row>
    <row r="462" spans="3:24" x14ac:dyDescent="0.3">
      <c r="C462" s="207"/>
      <c r="D462" s="209"/>
      <c r="E462" s="209"/>
      <c r="F462" s="209"/>
      <c r="G462" s="209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</row>
    <row r="463" spans="3:24" x14ac:dyDescent="0.3">
      <c r="C463" s="207"/>
      <c r="D463" s="209"/>
      <c r="E463" s="209"/>
      <c r="F463" s="209"/>
      <c r="G463" s="209"/>
      <c r="H463" s="209"/>
      <c r="I463" s="209"/>
      <c r="J463" s="209"/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09"/>
      <c r="W463" s="209"/>
      <c r="X463" s="209"/>
    </row>
    <row r="464" spans="3:24" x14ac:dyDescent="0.3">
      <c r="C464" s="207"/>
      <c r="D464" s="209"/>
      <c r="E464" s="209"/>
      <c r="F464" s="209"/>
      <c r="G464" s="209"/>
      <c r="H464" s="209"/>
      <c r="I464" s="209"/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  <c r="W464" s="209"/>
      <c r="X464" s="209"/>
    </row>
    <row r="465" spans="3:24" x14ac:dyDescent="0.3">
      <c r="C465" s="207"/>
      <c r="D465" s="209"/>
      <c r="E465" s="209"/>
      <c r="F465" s="209"/>
      <c r="G465" s="209"/>
      <c r="H465" s="209"/>
      <c r="I465" s="209"/>
      <c r="J465" s="209"/>
      <c r="K465" s="209"/>
      <c r="L465" s="209"/>
      <c r="M465" s="209"/>
      <c r="N465" s="209"/>
      <c r="O465" s="209"/>
      <c r="P465" s="209"/>
      <c r="Q465" s="209"/>
      <c r="R465" s="209"/>
      <c r="S465" s="209"/>
      <c r="T465" s="209"/>
      <c r="U465" s="209"/>
      <c r="V465" s="209"/>
      <c r="W465" s="209"/>
      <c r="X465" s="209"/>
    </row>
    <row r="466" spans="3:24" x14ac:dyDescent="0.3">
      <c r="C466" s="207"/>
      <c r="D466" s="209"/>
      <c r="E466" s="209"/>
      <c r="F466" s="209"/>
      <c r="G466" s="209"/>
      <c r="H466" s="209"/>
      <c r="I466" s="209"/>
      <c r="J466" s="209"/>
      <c r="K466" s="209"/>
      <c r="L466" s="209"/>
      <c r="M466" s="209"/>
      <c r="N466" s="209"/>
      <c r="O466" s="209"/>
      <c r="P466" s="209"/>
      <c r="Q466" s="209"/>
      <c r="R466" s="209"/>
      <c r="S466" s="209"/>
      <c r="T466" s="209"/>
      <c r="U466" s="209"/>
      <c r="V466" s="209"/>
      <c r="W466" s="209"/>
      <c r="X466" s="209"/>
    </row>
    <row r="467" spans="3:24" x14ac:dyDescent="0.3">
      <c r="C467" s="207"/>
      <c r="D467" s="209"/>
      <c r="E467" s="209"/>
      <c r="F467" s="209"/>
      <c r="G467" s="209"/>
      <c r="H467" s="209"/>
      <c r="I467" s="209"/>
      <c r="J467" s="209"/>
      <c r="K467" s="209"/>
      <c r="L467" s="209"/>
      <c r="M467" s="209"/>
      <c r="N467" s="209"/>
      <c r="O467" s="209"/>
      <c r="P467" s="209"/>
      <c r="Q467" s="209"/>
      <c r="R467" s="209"/>
      <c r="S467" s="209"/>
      <c r="T467" s="209"/>
      <c r="U467" s="209"/>
      <c r="V467" s="209"/>
      <c r="W467" s="209"/>
      <c r="X467" s="209"/>
    </row>
    <row r="468" spans="3:24" x14ac:dyDescent="0.3">
      <c r="C468" s="207"/>
      <c r="D468" s="209"/>
      <c r="E468" s="209"/>
      <c r="F468" s="209"/>
      <c r="G468" s="209"/>
      <c r="H468" s="209"/>
      <c r="I468" s="209"/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  <c r="W468" s="209"/>
      <c r="X468" s="209"/>
    </row>
    <row r="469" spans="3:24" x14ac:dyDescent="0.3">
      <c r="C469" s="207"/>
      <c r="D469" s="209"/>
      <c r="E469" s="209"/>
      <c r="F469" s="209"/>
      <c r="G469" s="209"/>
      <c r="H469" s="209"/>
      <c r="I469" s="209"/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</row>
    <row r="470" spans="3:24" x14ac:dyDescent="0.3">
      <c r="C470" s="207"/>
      <c r="D470" s="209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</row>
    <row r="471" spans="3:24" x14ac:dyDescent="0.3">
      <c r="C471" s="207"/>
      <c r="D471" s="209"/>
      <c r="E471" s="209"/>
      <c r="F471" s="209"/>
      <c r="G471" s="209"/>
      <c r="H471" s="209"/>
      <c r="I471" s="209"/>
      <c r="J471" s="209"/>
      <c r="K471" s="209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  <c r="W471" s="209"/>
      <c r="X471" s="209"/>
    </row>
    <row r="472" spans="3:24" x14ac:dyDescent="0.3">
      <c r="C472" s="207"/>
      <c r="D472" s="209"/>
      <c r="E472" s="209"/>
      <c r="F472" s="209"/>
      <c r="G472" s="209"/>
      <c r="H472" s="209"/>
      <c r="I472" s="209"/>
      <c r="J472" s="209"/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  <c r="W472" s="209"/>
      <c r="X472" s="209"/>
    </row>
    <row r="473" spans="3:24" x14ac:dyDescent="0.3">
      <c r="C473" s="207"/>
      <c r="D473" s="209"/>
      <c r="E473" s="209"/>
      <c r="F473" s="209"/>
      <c r="G473" s="209"/>
      <c r="H473" s="209"/>
      <c r="I473" s="209"/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  <c r="W473" s="209"/>
      <c r="X473" s="209"/>
    </row>
    <row r="474" spans="3:24" x14ac:dyDescent="0.3">
      <c r="C474" s="207"/>
      <c r="D474" s="209"/>
      <c r="E474" s="209"/>
      <c r="F474" s="209"/>
      <c r="G474" s="209"/>
      <c r="H474" s="209"/>
      <c r="I474" s="209"/>
      <c r="J474" s="209"/>
      <c r="K474" s="209"/>
      <c r="L474" s="209"/>
      <c r="M474" s="209"/>
      <c r="N474" s="209"/>
      <c r="O474" s="209"/>
      <c r="P474" s="209"/>
      <c r="Q474" s="209"/>
      <c r="R474" s="209"/>
      <c r="S474" s="209"/>
      <c r="T474" s="209"/>
      <c r="U474" s="209"/>
      <c r="V474" s="209"/>
      <c r="W474" s="209"/>
      <c r="X474" s="209"/>
    </row>
    <row r="475" spans="3:24" x14ac:dyDescent="0.3">
      <c r="C475" s="207"/>
      <c r="D475" s="209"/>
      <c r="E475" s="209"/>
      <c r="F475" s="209"/>
      <c r="G475" s="209"/>
      <c r="H475" s="209"/>
      <c r="I475" s="209"/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09"/>
      <c r="W475" s="209"/>
      <c r="X475" s="209"/>
    </row>
    <row r="476" spans="3:24" x14ac:dyDescent="0.3">
      <c r="C476" s="207"/>
      <c r="D476" s="209"/>
      <c r="E476" s="209"/>
      <c r="F476" s="209"/>
      <c r="G476" s="209"/>
      <c r="H476" s="209"/>
      <c r="I476" s="209"/>
      <c r="J476" s="209"/>
      <c r="K476" s="209"/>
      <c r="L476" s="209"/>
      <c r="M476" s="209"/>
      <c r="N476" s="209"/>
      <c r="O476" s="209"/>
      <c r="P476" s="209"/>
      <c r="Q476" s="209"/>
      <c r="R476" s="209"/>
      <c r="S476" s="209"/>
      <c r="T476" s="209"/>
      <c r="U476" s="209"/>
      <c r="V476" s="209"/>
      <c r="W476" s="209"/>
      <c r="X476" s="209"/>
    </row>
    <row r="477" spans="3:24" x14ac:dyDescent="0.3">
      <c r="C477" s="207"/>
      <c r="D477" s="209"/>
      <c r="E477" s="209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</row>
    <row r="478" spans="3:24" x14ac:dyDescent="0.3">
      <c r="C478" s="207"/>
      <c r="D478" s="209"/>
      <c r="E478" s="209"/>
      <c r="F478" s="209"/>
      <c r="G478" s="209"/>
      <c r="H478" s="209"/>
      <c r="I478" s="209"/>
      <c r="J478" s="209"/>
      <c r="K478" s="209"/>
      <c r="L478" s="209"/>
      <c r="M478" s="209"/>
      <c r="N478" s="209"/>
      <c r="O478" s="209"/>
      <c r="P478" s="209"/>
      <c r="Q478" s="209"/>
      <c r="R478" s="209"/>
      <c r="S478" s="209"/>
      <c r="T478" s="209"/>
      <c r="U478" s="209"/>
      <c r="V478" s="209"/>
      <c r="W478" s="209"/>
      <c r="X478" s="209"/>
    </row>
    <row r="479" spans="3:24" x14ac:dyDescent="0.3">
      <c r="C479" s="207"/>
      <c r="D479" s="209"/>
      <c r="E479" s="209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  <c r="W479" s="209"/>
      <c r="X479" s="209"/>
    </row>
    <row r="480" spans="3:24" x14ac:dyDescent="0.3">
      <c r="C480" s="207"/>
      <c r="D480" s="209"/>
      <c r="E480" s="209"/>
      <c r="F480" s="209"/>
      <c r="G480" s="209"/>
      <c r="H480" s="209"/>
      <c r="I480" s="209"/>
      <c r="J480" s="209"/>
      <c r="K480" s="209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209"/>
      <c r="W480" s="209"/>
      <c r="X480" s="209"/>
    </row>
    <row r="481" spans="3:24" x14ac:dyDescent="0.3">
      <c r="C481" s="207"/>
      <c r="D481" s="209"/>
      <c r="E481" s="209"/>
      <c r="F481" s="209"/>
      <c r="G481" s="209"/>
      <c r="H481" s="209"/>
      <c r="I481" s="209"/>
      <c r="J481" s="209"/>
      <c r="K481" s="209"/>
      <c r="L481" s="209"/>
      <c r="M481" s="209"/>
      <c r="N481" s="209"/>
      <c r="O481" s="209"/>
      <c r="P481" s="209"/>
      <c r="Q481" s="209"/>
      <c r="R481" s="209"/>
      <c r="S481" s="209"/>
      <c r="T481" s="209"/>
      <c r="U481" s="209"/>
      <c r="V481" s="209"/>
      <c r="W481" s="209"/>
      <c r="X481" s="209"/>
    </row>
    <row r="482" spans="3:24" x14ac:dyDescent="0.3">
      <c r="C482" s="207"/>
      <c r="D482" s="209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  <c r="R482" s="209"/>
      <c r="S482" s="209"/>
      <c r="T482" s="209"/>
      <c r="U482" s="209"/>
      <c r="V482" s="209"/>
      <c r="W482" s="209"/>
      <c r="X482" s="209"/>
    </row>
    <row r="483" spans="3:24" x14ac:dyDescent="0.3">
      <c r="C483" s="207"/>
      <c r="D483" s="209"/>
      <c r="E483" s="209"/>
      <c r="F483" s="209"/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  <c r="W483" s="209"/>
      <c r="X483" s="209"/>
    </row>
    <row r="484" spans="3:24" x14ac:dyDescent="0.3">
      <c r="C484" s="207"/>
      <c r="D484" s="209"/>
      <c r="E484" s="209"/>
      <c r="F484" s="209"/>
      <c r="G484" s="209"/>
      <c r="H484" s="209"/>
      <c r="I484" s="209"/>
      <c r="J484" s="209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09"/>
      <c r="W484" s="209"/>
      <c r="X484" s="209"/>
    </row>
    <row r="485" spans="3:24" x14ac:dyDescent="0.3">
      <c r="C485" s="207"/>
      <c r="D485" s="209"/>
      <c r="E485" s="209"/>
      <c r="F485" s="209"/>
      <c r="G485" s="209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  <c r="W485" s="209"/>
      <c r="X485" s="209"/>
    </row>
    <row r="486" spans="3:24" x14ac:dyDescent="0.3">
      <c r="C486" s="207"/>
      <c r="D486" s="209"/>
      <c r="E486" s="209"/>
      <c r="F486" s="209"/>
      <c r="G486" s="209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  <c r="W486" s="209"/>
      <c r="X486" s="209"/>
    </row>
    <row r="487" spans="3:24" x14ac:dyDescent="0.3">
      <c r="C487" s="207"/>
      <c r="D487" s="209"/>
      <c r="E487" s="209"/>
      <c r="F487" s="209"/>
      <c r="G487" s="20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09"/>
      <c r="W487" s="209"/>
      <c r="X487" s="209"/>
    </row>
    <row r="488" spans="3:24" x14ac:dyDescent="0.3">
      <c r="C488" s="207"/>
      <c r="D488" s="209"/>
      <c r="E488" s="209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  <c r="R488" s="209"/>
      <c r="S488" s="209"/>
      <c r="T488" s="209"/>
      <c r="U488" s="209"/>
      <c r="V488" s="209"/>
      <c r="W488" s="209"/>
      <c r="X488" s="209"/>
    </row>
    <row r="489" spans="3:24" x14ac:dyDescent="0.3">
      <c r="C489" s="207"/>
      <c r="D489" s="209"/>
      <c r="E489" s="209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  <c r="W489" s="209"/>
      <c r="X489" s="209"/>
    </row>
    <row r="490" spans="3:24" x14ac:dyDescent="0.3">
      <c r="C490" s="207"/>
      <c r="D490" s="209"/>
      <c r="E490" s="209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</row>
    <row r="491" spans="3:24" x14ac:dyDescent="0.3">
      <c r="C491" s="207"/>
      <c r="D491" s="209"/>
      <c r="E491" s="209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</row>
    <row r="492" spans="3:24" x14ac:dyDescent="0.3">
      <c r="C492" s="207"/>
      <c r="D492" s="209"/>
      <c r="E492" s="209"/>
      <c r="F492" s="209"/>
      <c r="G492" s="209"/>
      <c r="H492" s="209"/>
      <c r="I492" s="209"/>
      <c r="J492" s="209"/>
      <c r="K492" s="209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</row>
    <row r="493" spans="3:24" x14ac:dyDescent="0.3">
      <c r="C493" s="207"/>
      <c r="D493" s="209"/>
      <c r="E493" s="209"/>
      <c r="F493" s="209"/>
      <c r="G493" s="209"/>
      <c r="H493" s="209"/>
      <c r="I493" s="209"/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</row>
    <row r="494" spans="3:24" x14ac:dyDescent="0.3">
      <c r="C494" s="207"/>
      <c r="D494" s="209"/>
      <c r="E494" s="209"/>
      <c r="F494" s="209"/>
      <c r="G494" s="209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</row>
    <row r="495" spans="3:24" x14ac:dyDescent="0.3">
      <c r="C495" s="207"/>
      <c r="D495" s="209"/>
      <c r="E495" s="209"/>
      <c r="F495" s="209"/>
      <c r="G495" s="209"/>
      <c r="H495" s="209"/>
      <c r="I495" s="209"/>
      <c r="J495" s="209"/>
      <c r="K495" s="209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</row>
    <row r="496" spans="3:24" x14ac:dyDescent="0.3">
      <c r="C496" s="207"/>
      <c r="D496" s="209"/>
      <c r="E496" s="209"/>
      <c r="F496" s="209"/>
      <c r="G496" s="209"/>
      <c r="H496" s="209"/>
      <c r="I496" s="209"/>
      <c r="J496" s="209"/>
      <c r="K496" s="209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</row>
    <row r="497" spans="3:24" x14ac:dyDescent="0.3">
      <c r="C497" s="207"/>
      <c r="D497" s="209"/>
      <c r="E497" s="209"/>
      <c r="F497" s="209"/>
      <c r="G497" s="209"/>
      <c r="H497" s="209"/>
      <c r="I497" s="209"/>
      <c r="J497" s="209"/>
      <c r="K497" s="209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</row>
    <row r="498" spans="3:24" x14ac:dyDescent="0.3">
      <c r="C498" s="207"/>
      <c r="D498" s="209"/>
      <c r="E498" s="209"/>
      <c r="F498" s="209"/>
      <c r="G498" s="20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</row>
    <row r="499" spans="3:24" x14ac:dyDescent="0.3">
      <c r="C499" s="207"/>
      <c r="D499" s="209"/>
      <c r="E499" s="209"/>
      <c r="F499" s="209"/>
      <c r="G499" s="20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</row>
    <row r="500" spans="3:24" x14ac:dyDescent="0.3">
      <c r="C500" s="207"/>
      <c r="D500" s="209"/>
      <c r="E500" s="209"/>
      <c r="F500" s="209"/>
      <c r="G500" s="209"/>
      <c r="H500" s="209"/>
      <c r="I500" s="209"/>
      <c r="J500" s="209"/>
      <c r="K500" s="209"/>
      <c r="L500" s="209"/>
      <c r="M500" s="209"/>
      <c r="N500" s="209"/>
      <c r="O500" s="209"/>
      <c r="P500" s="209"/>
      <c r="Q500" s="209"/>
      <c r="R500" s="209"/>
      <c r="S500" s="209"/>
      <c r="T500" s="209"/>
      <c r="U500" s="209"/>
      <c r="V500" s="209"/>
      <c r="W500" s="209"/>
      <c r="X500" s="209"/>
    </row>
    <row r="501" spans="3:24" x14ac:dyDescent="0.3">
      <c r="C501" s="207"/>
      <c r="D501" s="209"/>
      <c r="E501" s="209"/>
      <c r="F501" s="209"/>
      <c r="G501" s="209"/>
      <c r="H501" s="209"/>
      <c r="I501" s="209"/>
      <c r="J501" s="209"/>
      <c r="K501" s="209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09"/>
      <c r="W501" s="209"/>
      <c r="X501" s="209"/>
    </row>
    <row r="502" spans="3:24" x14ac:dyDescent="0.3">
      <c r="C502" s="207"/>
      <c r="D502" s="209"/>
      <c r="E502" s="209"/>
      <c r="F502" s="209"/>
      <c r="G502" s="209"/>
      <c r="H502" s="209"/>
      <c r="I502" s="209"/>
      <c r="J502" s="209"/>
      <c r="K502" s="209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</row>
    <row r="503" spans="3:24" x14ac:dyDescent="0.3">
      <c r="C503" s="207"/>
      <c r="D503" s="209"/>
      <c r="E503" s="209"/>
      <c r="F503" s="209"/>
      <c r="G503" s="209"/>
      <c r="H503" s="209"/>
      <c r="I503" s="209"/>
      <c r="J503" s="209"/>
      <c r="K503" s="209"/>
      <c r="L503" s="209"/>
      <c r="M503" s="209"/>
      <c r="N503" s="209"/>
      <c r="O503" s="209"/>
      <c r="P503" s="209"/>
      <c r="Q503" s="209"/>
      <c r="R503" s="209"/>
      <c r="S503" s="209"/>
      <c r="T503" s="209"/>
      <c r="U503" s="209"/>
      <c r="V503" s="209"/>
      <c r="W503" s="209"/>
      <c r="X503" s="209"/>
    </row>
    <row r="504" spans="3:24" x14ac:dyDescent="0.3">
      <c r="C504" s="207"/>
      <c r="D504" s="209"/>
      <c r="E504" s="209"/>
      <c r="F504" s="209"/>
      <c r="G504" s="209"/>
      <c r="H504" s="209"/>
      <c r="I504" s="209"/>
      <c r="J504" s="209"/>
      <c r="K504" s="209"/>
      <c r="L504" s="209"/>
      <c r="M504" s="209"/>
      <c r="N504" s="209"/>
      <c r="O504" s="209"/>
      <c r="P504" s="209"/>
      <c r="Q504" s="209"/>
      <c r="R504" s="209"/>
      <c r="S504" s="209"/>
      <c r="T504" s="209"/>
      <c r="U504" s="209"/>
      <c r="V504" s="209"/>
      <c r="W504" s="209"/>
      <c r="X504" s="209"/>
    </row>
    <row r="505" spans="3:24" x14ac:dyDescent="0.3">
      <c r="C505" s="207"/>
      <c r="D505" s="209"/>
      <c r="E505" s="209"/>
      <c r="F505" s="209"/>
      <c r="G505" s="209"/>
      <c r="H505" s="209"/>
      <c r="I505" s="209"/>
      <c r="J505" s="209"/>
      <c r="K505" s="209"/>
      <c r="L505" s="209"/>
      <c r="M505" s="209"/>
      <c r="N505" s="209"/>
      <c r="O505" s="209"/>
      <c r="P505" s="209"/>
      <c r="Q505" s="209"/>
      <c r="R505" s="209"/>
      <c r="S505" s="209"/>
      <c r="T505" s="209"/>
      <c r="U505" s="209"/>
      <c r="V505" s="209"/>
      <c r="W505" s="209"/>
      <c r="X505" s="209"/>
    </row>
    <row r="506" spans="3:24" x14ac:dyDescent="0.3">
      <c r="C506" s="207"/>
      <c r="D506" s="209"/>
      <c r="E506" s="209"/>
      <c r="F506" s="209"/>
      <c r="G506" s="209"/>
      <c r="H506" s="209"/>
      <c r="I506" s="209"/>
      <c r="J506" s="209"/>
      <c r="K506" s="209"/>
      <c r="L506" s="209"/>
      <c r="M506" s="209"/>
      <c r="N506" s="209"/>
      <c r="O506" s="209"/>
      <c r="P506" s="209"/>
      <c r="Q506" s="209"/>
      <c r="R506" s="209"/>
      <c r="S506" s="209"/>
      <c r="T506" s="209"/>
      <c r="U506" s="209"/>
      <c r="V506" s="209"/>
      <c r="W506" s="209"/>
      <c r="X506" s="209"/>
    </row>
    <row r="507" spans="3:24" x14ac:dyDescent="0.3">
      <c r="C507" s="207"/>
      <c r="D507" s="209"/>
      <c r="E507" s="209"/>
      <c r="F507" s="209"/>
      <c r="G507" s="209"/>
      <c r="H507" s="209"/>
      <c r="I507" s="209"/>
      <c r="J507" s="209"/>
      <c r="K507" s="209"/>
      <c r="L507" s="209"/>
      <c r="M507" s="209"/>
      <c r="N507" s="209"/>
      <c r="O507" s="209"/>
      <c r="P507" s="209"/>
      <c r="Q507" s="209"/>
      <c r="R507" s="209"/>
      <c r="S507" s="209"/>
      <c r="T507" s="209"/>
      <c r="U507" s="209"/>
      <c r="V507" s="209"/>
      <c r="W507" s="209"/>
      <c r="X507" s="209"/>
    </row>
    <row r="508" spans="3:24" x14ac:dyDescent="0.3">
      <c r="C508" s="207"/>
      <c r="D508" s="209"/>
      <c r="E508" s="209"/>
      <c r="F508" s="209"/>
      <c r="G508" s="209"/>
      <c r="H508" s="209"/>
      <c r="I508" s="209"/>
      <c r="J508" s="209"/>
      <c r="K508" s="209"/>
      <c r="L508" s="209"/>
      <c r="M508" s="209"/>
      <c r="N508" s="209"/>
      <c r="O508" s="209"/>
      <c r="P508" s="209"/>
      <c r="Q508" s="209"/>
      <c r="R508" s="209"/>
      <c r="S508" s="209"/>
      <c r="T508" s="209"/>
      <c r="U508" s="209"/>
      <c r="V508" s="209"/>
      <c r="W508" s="209"/>
      <c r="X508" s="209"/>
    </row>
    <row r="509" spans="3:24" x14ac:dyDescent="0.3">
      <c r="C509" s="207"/>
      <c r="D509" s="209"/>
      <c r="E509" s="209"/>
      <c r="F509" s="209"/>
      <c r="G509" s="209"/>
      <c r="H509" s="209"/>
      <c r="I509" s="209"/>
      <c r="J509" s="209"/>
      <c r="K509" s="209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</row>
    <row r="510" spans="3:24" x14ac:dyDescent="0.3">
      <c r="C510" s="207"/>
      <c r="D510" s="209"/>
      <c r="E510" s="209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</row>
    <row r="511" spans="3:24" x14ac:dyDescent="0.3">
      <c r="C511" s="207"/>
      <c r="D511" s="209"/>
      <c r="E511" s="209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</row>
    <row r="512" spans="3:24" x14ac:dyDescent="0.3">
      <c r="C512" s="207"/>
      <c r="D512" s="209"/>
      <c r="E512" s="209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</row>
    <row r="513" spans="3:24" x14ac:dyDescent="0.3">
      <c r="C513" s="207"/>
      <c r="D513" s="209"/>
      <c r="E513" s="209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</row>
    <row r="514" spans="3:24" x14ac:dyDescent="0.3">
      <c r="C514" s="207"/>
      <c r="D514" s="209"/>
      <c r="E514" s="209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</row>
    <row r="515" spans="3:24" x14ac:dyDescent="0.3">
      <c r="C515" s="207"/>
      <c r="D515" s="209"/>
      <c r="E515" s="209"/>
      <c r="F515" s="209"/>
      <c r="G515" s="209"/>
      <c r="H515" s="209"/>
      <c r="I515" s="209"/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</row>
    <row r="516" spans="3:24" x14ac:dyDescent="0.3">
      <c r="C516" s="207"/>
      <c r="D516" s="209"/>
      <c r="E516" s="209"/>
      <c r="F516" s="209"/>
      <c r="G516" s="209"/>
      <c r="H516" s="209"/>
      <c r="I516" s="209"/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</row>
    <row r="517" spans="3:24" x14ac:dyDescent="0.3">
      <c r="C517" s="207"/>
      <c r="D517" s="209"/>
      <c r="E517" s="209"/>
      <c r="F517" s="209"/>
      <c r="G517" s="20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</row>
    <row r="518" spans="3:24" x14ac:dyDescent="0.3">
      <c r="C518" s="207"/>
      <c r="D518" s="209"/>
      <c r="E518" s="209"/>
      <c r="F518" s="209"/>
      <c r="G518" s="20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</row>
    <row r="519" spans="3:24" x14ac:dyDescent="0.3">
      <c r="C519" s="207"/>
      <c r="D519" s="209"/>
      <c r="E519" s="209"/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09"/>
      <c r="W519" s="209"/>
      <c r="X519" s="209"/>
    </row>
    <row r="520" spans="3:24" x14ac:dyDescent="0.3">
      <c r="C520" s="207"/>
      <c r="D520" s="209"/>
      <c r="E520" s="209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09"/>
      <c r="W520" s="209"/>
      <c r="X520" s="209"/>
    </row>
    <row r="521" spans="3:24" x14ac:dyDescent="0.3">
      <c r="C521" s="207"/>
      <c r="D521" s="209"/>
      <c r="E521" s="209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  <c r="W521" s="209"/>
      <c r="X521" s="209"/>
    </row>
    <row r="522" spans="3:24" x14ac:dyDescent="0.3">
      <c r="C522" s="207"/>
      <c r="D522" s="209"/>
      <c r="E522" s="209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</row>
    <row r="523" spans="3:24" x14ac:dyDescent="0.3">
      <c r="C523" s="207"/>
      <c r="D523" s="209"/>
      <c r="E523" s="209"/>
      <c r="F523" s="209"/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09"/>
    </row>
    <row r="524" spans="3:24" x14ac:dyDescent="0.3">
      <c r="C524" s="207"/>
      <c r="D524" s="209"/>
      <c r="E524" s="209"/>
      <c r="F524" s="209"/>
      <c r="G524" s="209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09"/>
      <c r="W524" s="209"/>
      <c r="X524" s="209"/>
    </row>
    <row r="525" spans="3:24" x14ac:dyDescent="0.3">
      <c r="C525" s="207"/>
      <c r="D525" s="209"/>
      <c r="E525" s="209"/>
      <c r="F525" s="209"/>
      <c r="G525" s="209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</row>
    <row r="526" spans="3:24" x14ac:dyDescent="0.3">
      <c r="C526" s="207"/>
      <c r="D526" s="209"/>
      <c r="E526" s="209"/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  <c r="W526" s="209"/>
      <c r="X526" s="209"/>
    </row>
    <row r="527" spans="3:24" x14ac:dyDescent="0.3">
      <c r="C527" s="207"/>
      <c r="D527" s="209"/>
      <c r="E527" s="209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</row>
    <row r="528" spans="3:24" x14ac:dyDescent="0.3">
      <c r="C528" s="207"/>
      <c r="D528" s="209"/>
      <c r="E528" s="209"/>
      <c r="F528" s="209"/>
      <c r="G528" s="209"/>
      <c r="H528" s="209"/>
      <c r="I528" s="209"/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09"/>
      <c r="W528" s="209"/>
      <c r="X528" s="209"/>
    </row>
    <row r="529" spans="3:24" x14ac:dyDescent="0.3">
      <c r="C529" s="207"/>
      <c r="D529" s="209"/>
      <c r="E529" s="209"/>
      <c r="F529" s="209"/>
      <c r="G529" s="209"/>
      <c r="H529" s="209"/>
      <c r="I529" s="209"/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09"/>
      <c r="W529" s="209"/>
      <c r="X529" s="209"/>
    </row>
    <row r="530" spans="3:24" x14ac:dyDescent="0.3">
      <c r="C530" s="207"/>
      <c r="D530" s="209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  <c r="W530" s="209"/>
      <c r="X530" s="209"/>
    </row>
    <row r="531" spans="3:24" x14ac:dyDescent="0.3">
      <c r="C531" s="207"/>
      <c r="D531" s="209"/>
      <c r="E531" s="209"/>
      <c r="F531" s="209"/>
      <c r="G531" s="209"/>
      <c r="H531" s="209"/>
      <c r="I531" s="209"/>
      <c r="J531" s="209"/>
      <c r="K531" s="209"/>
      <c r="L531" s="209"/>
      <c r="M531" s="209"/>
      <c r="N531" s="209"/>
      <c r="O531" s="209"/>
      <c r="P531" s="209"/>
      <c r="Q531" s="209"/>
      <c r="R531" s="209"/>
      <c r="S531" s="209"/>
      <c r="T531" s="209"/>
      <c r="U531" s="209"/>
      <c r="V531" s="209"/>
      <c r="W531" s="209"/>
      <c r="X531" s="209"/>
    </row>
    <row r="532" spans="3:24" x14ac:dyDescent="0.3">
      <c r="C532" s="207"/>
      <c r="D532" s="209"/>
      <c r="E532" s="209"/>
      <c r="F532" s="209"/>
      <c r="G532" s="209"/>
      <c r="H532" s="209"/>
      <c r="I532" s="209"/>
      <c r="J532" s="209"/>
      <c r="K532" s="209"/>
      <c r="L532" s="209"/>
      <c r="M532" s="209"/>
      <c r="N532" s="209"/>
      <c r="O532" s="209"/>
      <c r="P532" s="209"/>
      <c r="Q532" s="209"/>
      <c r="R532" s="209"/>
      <c r="S532" s="209"/>
      <c r="T532" s="209"/>
      <c r="U532" s="209"/>
      <c r="V532" s="209"/>
      <c r="W532" s="209"/>
      <c r="X532" s="209"/>
    </row>
    <row r="533" spans="3:24" x14ac:dyDescent="0.3">
      <c r="C533" s="207"/>
      <c r="D533" s="209"/>
      <c r="E533" s="209"/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09"/>
      <c r="Q533" s="209"/>
      <c r="R533" s="209"/>
      <c r="S533" s="209"/>
      <c r="T533" s="209"/>
      <c r="U533" s="209"/>
      <c r="V533" s="209"/>
      <c r="W533" s="209"/>
      <c r="X533" s="209"/>
    </row>
    <row r="534" spans="3:24" x14ac:dyDescent="0.3">
      <c r="C534" s="207"/>
      <c r="D534" s="209"/>
      <c r="E534" s="209"/>
      <c r="F534" s="209"/>
      <c r="G534" s="209"/>
      <c r="H534" s="209"/>
      <c r="I534" s="209"/>
      <c r="J534" s="209"/>
      <c r="K534" s="209"/>
      <c r="L534" s="209"/>
      <c r="M534" s="209"/>
      <c r="N534" s="209"/>
      <c r="O534" s="209"/>
      <c r="P534" s="209"/>
      <c r="Q534" s="209"/>
      <c r="R534" s="209"/>
      <c r="S534" s="209"/>
      <c r="T534" s="209"/>
      <c r="U534" s="209"/>
      <c r="V534" s="209"/>
      <c r="W534" s="209"/>
      <c r="X534" s="209"/>
    </row>
    <row r="535" spans="3:24" x14ac:dyDescent="0.3">
      <c r="C535" s="207"/>
      <c r="D535" s="209"/>
      <c r="E535" s="209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  <c r="R535" s="209"/>
      <c r="S535" s="209"/>
      <c r="T535" s="209"/>
      <c r="U535" s="209"/>
      <c r="V535" s="209"/>
      <c r="W535" s="209"/>
      <c r="X535" s="209"/>
    </row>
    <row r="536" spans="3:24" x14ac:dyDescent="0.3">
      <c r="C536" s="207"/>
      <c r="D536" s="209"/>
      <c r="E536" s="209"/>
      <c r="F536" s="209"/>
      <c r="G536" s="209"/>
      <c r="H536" s="209"/>
      <c r="I536" s="209"/>
      <c r="J536" s="209"/>
      <c r="K536" s="209"/>
      <c r="L536" s="209"/>
      <c r="M536" s="209"/>
      <c r="N536" s="209"/>
      <c r="O536" s="209"/>
      <c r="P536" s="209"/>
      <c r="Q536" s="209"/>
      <c r="R536" s="209"/>
      <c r="S536" s="209"/>
      <c r="T536" s="209"/>
      <c r="U536" s="209"/>
      <c r="V536" s="209"/>
      <c r="W536" s="209"/>
      <c r="X536" s="209"/>
    </row>
    <row r="537" spans="3:24" x14ac:dyDescent="0.3">
      <c r="C537" s="207"/>
      <c r="D537" s="209"/>
      <c r="E537" s="209"/>
      <c r="F537" s="209"/>
      <c r="G537" s="209"/>
      <c r="H537" s="209"/>
      <c r="I537" s="209"/>
      <c r="J537" s="209"/>
      <c r="K537" s="209"/>
      <c r="L537" s="209"/>
      <c r="M537" s="209"/>
      <c r="N537" s="209"/>
      <c r="O537" s="209"/>
      <c r="P537" s="209"/>
      <c r="Q537" s="209"/>
      <c r="R537" s="209"/>
      <c r="S537" s="209"/>
      <c r="T537" s="209"/>
      <c r="U537" s="209"/>
      <c r="V537" s="209"/>
      <c r="W537" s="209"/>
      <c r="X537" s="209"/>
    </row>
    <row r="538" spans="3:24" x14ac:dyDescent="0.3">
      <c r="C538" s="207"/>
      <c r="D538" s="209"/>
      <c r="E538" s="209"/>
      <c r="F538" s="209"/>
      <c r="G538" s="209"/>
      <c r="H538" s="209"/>
      <c r="I538" s="209"/>
      <c r="J538" s="209"/>
      <c r="K538" s="209"/>
      <c r="L538" s="209"/>
      <c r="M538" s="209"/>
      <c r="N538" s="209"/>
      <c r="O538" s="209"/>
      <c r="P538" s="209"/>
      <c r="Q538" s="209"/>
      <c r="R538" s="209"/>
      <c r="S538" s="209"/>
      <c r="T538" s="209"/>
      <c r="U538" s="209"/>
      <c r="V538" s="209"/>
      <c r="W538" s="209"/>
      <c r="X538" s="209"/>
    </row>
    <row r="539" spans="3:24" x14ac:dyDescent="0.3">
      <c r="C539" s="207"/>
      <c r="D539" s="209"/>
      <c r="E539" s="209"/>
      <c r="F539" s="209"/>
      <c r="G539" s="209"/>
      <c r="H539" s="209"/>
      <c r="I539" s="209"/>
      <c r="J539" s="209"/>
      <c r="K539" s="209"/>
      <c r="L539" s="209"/>
      <c r="M539" s="209"/>
      <c r="N539" s="209"/>
      <c r="O539" s="209"/>
      <c r="P539" s="209"/>
      <c r="Q539" s="209"/>
      <c r="R539" s="209"/>
      <c r="S539" s="209"/>
      <c r="T539" s="209"/>
      <c r="U539" s="209"/>
      <c r="V539" s="209"/>
      <c r="W539" s="209"/>
      <c r="X539" s="209"/>
    </row>
    <row r="540" spans="3:24" x14ac:dyDescent="0.3">
      <c r="C540" s="207"/>
      <c r="D540" s="209"/>
      <c r="E540" s="209"/>
      <c r="F540" s="209"/>
      <c r="G540" s="209"/>
      <c r="H540" s="209"/>
      <c r="I540" s="209"/>
      <c r="J540" s="209"/>
      <c r="K540" s="209"/>
      <c r="L540" s="209"/>
      <c r="M540" s="209"/>
      <c r="N540" s="209"/>
      <c r="O540" s="209"/>
      <c r="P540" s="209"/>
      <c r="Q540" s="209"/>
      <c r="R540" s="209"/>
      <c r="S540" s="209"/>
      <c r="T540" s="209"/>
      <c r="U540" s="209"/>
      <c r="V540" s="209"/>
      <c r="W540" s="209"/>
      <c r="X540" s="209"/>
    </row>
    <row r="541" spans="3:24" x14ac:dyDescent="0.3">
      <c r="C541" s="207"/>
      <c r="D541" s="209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209"/>
      <c r="U541" s="209"/>
      <c r="V541" s="209"/>
      <c r="W541" s="209"/>
      <c r="X541" s="209"/>
    </row>
    <row r="542" spans="3:24" x14ac:dyDescent="0.3">
      <c r="C542" s="207"/>
      <c r="D542" s="209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209"/>
      <c r="P542" s="209"/>
      <c r="Q542" s="209"/>
      <c r="R542" s="209"/>
      <c r="S542" s="209"/>
      <c r="T542" s="209"/>
      <c r="U542" s="209"/>
      <c r="V542" s="209"/>
      <c r="W542" s="209"/>
      <c r="X542" s="209"/>
    </row>
    <row r="543" spans="3:24" x14ac:dyDescent="0.3">
      <c r="C543" s="207"/>
      <c r="D543" s="209"/>
      <c r="E543" s="209"/>
      <c r="F543" s="209"/>
      <c r="G543" s="209"/>
      <c r="H543" s="209"/>
      <c r="I543" s="209"/>
      <c r="J543" s="209"/>
      <c r="K543" s="209"/>
      <c r="L543" s="209"/>
      <c r="M543" s="209"/>
      <c r="N543" s="209"/>
      <c r="O543" s="209"/>
      <c r="P543" s="209"/>
      <c r="Q543" s="209"/>
      <c r="R543" s="209"/>
      <c r="S543" s="209"/>
      <c r="T543" s="209"/>
      <c r="U543" s="209"/>
      <c r="V543" s="209"/>
      <c r="W543" s="209"/>
      <c r="X543" s="209"/>
    </row>
    <row r="544" spans="3:24" x14ac:dyDescent="0.3">
      <c r="C544" s="207"/>
      <c r="D544" s="209"/>
      <c r="E544" s="209"/>
      <c r="F544" s="209"/>
      <c r="G544" s="209"/>
      <c r="H544" s="209"/>
      <c r="I544" s="209"/>
      <c r="J544" s="209"/>
      <c r="K544" s="209"/>
      <c r="L544" s="209"/>
      <c r="M544" s="209"/>
      <c r="N544" s="209"/>
      <c r="O544" s="209"/>
      <c r="P544" s="209"/>
      <c r="Q544" s="209"/>
      <c r="R544" s="209"/>
      <c r="S544" s="209"/>
      <c r="T544" s="209"/>
      <c r="U544" s="209"/>
      <c r="V544" s="209"/>
      <c r="W544" s="209"/>
      <c r="X544" s="209"/>
    </row>
    <row r="545" spans="3:24" x14ac:dyDescent="0.3">
      <c r="C545" s="207"/>
      <c r="D545" s="209"/>
      <c r="E545" s="209"/>
      <c r="F545" s="209"/>
      <c r="G545" s="209"/>
      <c r="H545" s="209"/>
      <c r="I545" s="209"/>
      <c r="J545" s="209"/>
      <c r="K545" s="209"/>
      <c r="L545" s="209"/>
      <c r="M545" s="209"/>
      <c r="N545" s="209"/>
      <c r="O545" s="209"/>
      <c r="P545" s="209"/>
      <c r="Q545" s="209"/>
      <c r="R545" s="209"/>
      <c r="S545" s="209"/>
      <c r="T545" s="209"/>
      <c r="U545" s="209"/>
      <c r="V545" s="209"/>
      <c r="W545" s="209"/>
      <c r="X545" s="209"/>
    </row>
    <row r="546" spans="3:24" x14ac:dyDescent="0.3">
      <c r="C546" s="207"/>
      <c r="D546" s="209"/>
      <c r="E546" s="209"/>
      <c r="F546" s="209"/>
      <c r="G546" s="209"/>
      <c r="H546" s="209"/>
      <c r="I546" s="209"/>
      <c r="J546" s="209"/>
      <c r="K546" s="209"/>
      <c r="L546" s="209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  <c r="W546" s="209"/>
      <c r="X546" s="209"/>
    </row>
    <row r="547" spans="3:24" x14ac:dyDescent="0.3">
      <c r="C547" s="207"/>
      <c r="D547" s="209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</row>
    <row r="548" spans="3:24" x14ac:dyDescent="0.3">
      <c r="C548" s="207"/>
      <c r="D548" s="209"/>
      <c r="E548" s="209"/>
      <c r="F548" s="209"/>
      <c r="G548" s="209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</row>
    <row r="549" spans="3:24" x14ac:dyDescent="0.3">
      <c r="C549" s="207"/>
      <c r="D549" s="209"/>
      <c r="E549" s="209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</row>
    <row r="550" spans="3:24" x14ac:dyDescent="0.3">
      <c r="C550" s="207"/>
      <c r="D550" s="209"/>
      <c r="E550" s="209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</row>
    <row r="551" spans="3:24" ht="12" x14ac:dyDescent="0.45">
      <c r="C551" s="207"/>
      <c r="D551" s="211"/>
      <c r="E551" s="211"/>
      <c r="F551" s="211"/>
      <c r="G551" s="218"/>
      <c r="H551" s="218"/>
      <c r="I551" s="218"/>
      <c r="J551" s="218"/>
      <c r="K551" s="218"/>
      <c r="L551" s="218"/>
      <c r="M551" s="218"/>
      <c r="N551" s="218"/>
      <c r="O551" s="218"/>
      <c r="P551" s="218"/>
      <c r="Q551" s="218"/>
      <c r="R551" s="218"/>
      <c r="S551" s="218"/>
      <c r="T551" s="218"/>
      <c r="U551" s="218"/>
      <c r="V551" s="218"/>
      <c r="W551" s="218"/>
      <c r="X551" s="209"/>
    </row>
    <row r="552" spans="3:24" x14ac:dyDescent="0.3">
      <c r="C552" s="207"/>
      <c r="D552" s="202"/>
      <c r="E552" s="202"/>
      <c r="F552" s="202"/>
      <c r="G552" s="209"/>
      <c r="H552" s="202"/>
      <c r="I552" s="209"/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</row>
    <row r="553" spans="3:24" x14ac:dyDescent="0.3">
      <c r="C553" s="207"/>
      <c r="D553" s="219"/>
      <c r="E553" s="219"/>
      <c r="F553" s="219"/>
      <c r="G553" s="219"/>
      <c r="H553" s="219"/>
      <c r="I553" s="219"/>
      <c r="J553" s="219"/>
      <c r="K553" s="219"/>
      <c r="L553" s="219"/>
      <c r="M553" s="219"/>
      <c r="N553" s="219"/>
      <c r="O553" s="219"/>
      <c r="P553" s="219"/>
      <c r="Q553" s="219"/>
      <c r="R553" s="219"/>
      <c r="S553" s="219"/>
      <c r="T553" s="219"/>
      <c r="U553" s="219"/>
      <c r="V553" s="219"/>
      <c r="W553" s="219"/>
      <c r="X553" s="202"/>
    </row>
    <row r="554" spans="3:24" x14ac:dyDescent="0.3">
      <c r="C554" s="207"/>
      <c r="D554" s="206"/>
      <c r="E554" s="206"/>
      <c r="F554" s="206"/>
      <c r="G554" s="206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2"/>
    </row>
    <row r="555" spans="3:24" ht="12" x14ac:dyDescent="0.45">
      <c r="C555" s="207"/>
      <c r="D555" s="220"/>
      <c r="E555" s="220"/>
      <c r="F555" s="220"/>
      <c r="G555" s="220"/>
      <c r="H555" s="220"/>
      <c r="I555" s="220"/>
      <c r="J555" s="220"/>
      <c r="K555" s="220"/>
      <c r="L555" s="220"/>
      <c r="M555" s="220"/>
      <c r="N555" s="220"/>
      <c r="O555" s="220"/>
      <c r="P555" s="220"/>
      <c r="Q555" s="220"/>
      <c r="R555" s="221"/>
      <c r="S555" s="221"/>
      <c r="T555" s="221"/>
      <c r="U555" s="221"/>
      <c r="V555" s="221"/>
      <c r="W555" s="221"/>
      <c r="X555" s="202"/>
    </row>
    <row r="556" spans="3:24" x14ac:dyDescent="0.3">
      <c r="C556" s="207"/>
      <c r="D556" s="206"/>
      <c r="E556" s="206"/>
      <c r="F556" s="206"/>
      <c r="G556" s="206"/>
      <c r="H556" s="206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2"/>
    </row>
    <row r="557" spans="3:24" x14ac:dyDescent="0.3">
      <c r="C557" s="207"/>
      <c r="D557" s="202"/>
      <c r="E557" s="202"/>
      <c r="F557" s="202"/>
      <c r="G557" s="202"/>
      <c r="H557" s="202"/>
      <c r="I557" s="202"/>
      <c r="J557" s="202"/>
      <c r="K557" s="202"/>
      <c r="L557" s="202"/>
      <c r="M557" s="202"/>
      <c r="N557" s="202"/>
      <c r="O557" s="202"/>
      <c r="P557" s="202"/>
      <c r="Q557" s="202"/>
      <c r="R557" s="202"/>
      <c r="S557" s="202"/>
      <c r="T557" s="202"/>
      <c r="U557" s="202"/>
      <c r="V557" s="202"/>
      <c r="W557" s="202"/>
      <c r="X557" s="202"/>
    </row>
    <row r="558" spans="3:24" x14ac:dyDescent="0.3">
      <c r="C558" s="207"/>
    </row>
    <row r="559" spans="3:24" x14ac:dyDescent="0.3">
      <c r="C559" s="207"/>
    </row>
  </sheetData>
  <autoFilter ref="X1:X559" xr:uid="{00000000-0009-0000-0000-000005000000}"/>
  <mergeCells count="5">
    <mergeCell ref="N52:R52"/>
    <mergeCell ref="D55:F57"/>
    <mergeCell ref="N4:R4"/>
    <mergeCell ref="D7:F9"/>
    <mergeCell ref="C64:D64"/>
  </mergeCells>
  <printOptions horizontalCentered="1"/>
  <pageMargins left="0.25" right="0.25" top="0.75" bottom="0.75" header="0.3" footer="0.3"/>
  <pageSetup scale="80" fitToHeight="0" orientation="landscape" r:id="rId1"/>
  <headerFooter>
    <oddHeader xml:space="preserve">&amp;C&amp;"Arial,Bold"&amp;USCHEDULE B&amp;U
SCHEDULE OF PENSION AMOUNTS BY EMPLOYER&amp;"Arial,Regular"
</oddHeader>
  </headerFooter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3"/>
  <sheetViews>
    <sheetView showGridLines="0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9.15234375" defaultRowHeight="11.6" x14ac:dyDescent="0.3"/>
  <cols>
    <col min="1" max="1" width="5.69140625" style="223" customWidth="1"/>
    <col min="2" max="2" width="43.23046875" style="223" bestFit="1" customWidth="1"/>
    <col min="3" max="3" width="16" style="223" bestFit="1" customWidth="1"/>
    <col min="4" max="4" width="15.61328125" style="223" bestFit="1" customWidth="1"/>
    <col min="5" max="6" width="13.69140625" style="223" bestFit="1" customWidth="1"/>
    <col min="7" max="9" width="14.61328125" style="223" bestFit="1" customWidth="1"/>
    <col min="10" max="10" width="11" style="223" bestFit="1" customWidth="1"/>
    <col min="11" max="16384" width="9.15234375" style="223"/>
  </cols>
  <sheetData>
    <row r="1" spans="1:10" x14ac:dyDescent="0.3">
      <c r="A1" s="222" t="s">
        <v>380</v>
      </c>
    </row>
    <row r="2" spans="1:10" x14ac:dyDescent="0.3">
      <c r="A2" s="224" t="s">
        <v>731</v>
      </c>
    </row>
    <row r="3" spans="1:10" ht="12" thickBot="1" x14ac:dyDescent="0.35">
      <c r="A3" s="224"/>
    </row>
    <row r="4" spans="1:10" ht="12.75" customHeight="1" x14ac:dyDescent="0.3">
      <c r="A4" s="298"/>
      <c r="B4" s="299"/>
      <c r="C4" s="376" t="s">
        <v>719</v>
      </c>
      <c r="D4" s="377"/>
      <c r="E4" s="300"/>
      <c r="F4" s="301"/>
      <c r="G4" s="301"/>
      <c r="H4" s="301"/>
      <c r="I4" s="301"/>
      <c r="J4" s="299"/>
    </row>
    <row r="5" spans="1:10" ht="12.75" customHeight="1" x14ac:dyDescent="0.3">
      <c r="A5" s="302"/>
      <c r="B5" s="303"/>
      <c r="C5" s="378" t="s">
        <v>724</v>
      </c>
      <c r="D5" s="379"/>
      <c r="E5" s="306"/>
      <c r="F5" s="307"/>
      <c r="G5" s="307"/>
      <c r="H5" s="307"/>
      <c r="I5" s="307"/>
      <c r="J5" s="303"/>
    </row>
    <row r="6" spans="1:10" x14ac:dyDescent="0.3">
      <c r="A6" s="302"/>
      <c r="B6" s="303"/>
      <c r="C6" s="304" t="s">
        <v>718</v>
      </c>
      <c r="D6" s="305" t="s">
        <v>717</v>
      </c>
      <c r="E6" s="306"/>
      <c r="F6" s="307"/>
      <c r="G6" s="307"/>
      <c r="H6" s="307"/>
      <c r="I6" s="307"/>
      <c r="J6" s="303"/>
    </row>
    <row r="7" spans="1:10" x14ac:dyDescent="0.3">
      <c r="A7" s="302"/>
      <c r="B7" s="303"/>
      <c r="C7" s="304" t="s">
        <v>377</v>
      </c>
      <c r="D7" s="305" t="s">
        <v>377</v>
      </c>
      <c r="E7" s="306"/>
      <c r="F7" s="307"/>
      <c r="G7" s="307"/>
      <c r="H7" s="307"/>
      <c r="I7" s="307"/>
      <c r="J7" s="303"/>
    </row>
    <row r="8" spans="1:10" x14ac:dyDescent="0.3">
      <c r="A8" s="306"/>
      <c r="B8" s="303"/>
      <c r="C8" s="304" t="s">
        <v>68</v>
      </c>
      <c r="D8" s="305" t="s">
        <v>68</v>
      </c>
      <c r="E8" s="306"/>
      <c r="F8" s="307"/>
      <c r="G8" s="307"/>
      <c r="H8" s="307"/>
      <c r="I8" s="307"/>
      <c r="J8" s="303"/>
    </row>
    <row r="9" spans="1:10" x14ac:dyDescent="0.3">
      <c r="A9" s="306"/>
      <c r="B9" s="303"/>
      <c r="C9" s="304" t="s">
        <v>360</v>
      </c>
      <c r="D9" s="305" t="s">
        <v>360</v>
      </c>
      <c r="E9" s="308" t="s">
        <v>84</v>
      </c>
      <c r="F9" s="309"/>
      <c r="G9" s="309"/>
      <c r="H9" s="309"/>
      <c r="I9" s="309"/>
      <c r="J9" s="310"/>
    </row>
    <row r="10" spans="1:10" ht="12" thickBot="1" x14ac:dyDescent="0.35">
      <c r="A10" s="311"/>
      <c r="B10" s="312"/>
      <c r="C10" s="304" t="s">
        <v>367</v>
      </c>
      <c r="D10" s="305" t="s">
        <v>367</v>
      </c>
      <c r="E10" s="373" t="s">
        <v>85</v>
      </c>
      <c r="F10" s="374"/>
      <c r="G10" s="374"/>
      <c r="H10" s="374"/>
      <c r="I10" s="374"/>
      <c r="J10" s="375"/>
    </row>
    <row r="11" spans="1:10" ht="12" thickBot="1" x14ac:dyDescent="0.35">
      <c r="A11" s="313" t="s">
        <v>379</v>
      </c>
      <c r="B11" s="314" t="s">
        <v>314</v>
      </c>
      <c r="C11" s="315" t="s">
        <v>72</v>
      </c>
      <c r="D11" s="316" t="s">
        <v>72</v>
      </c>
      <c r="E11" s="317" t="s">
        <v>725</v>
      </c>
      <c r="F11" s="317" t="s">
        <v>726</v>
      </c>
      <c r="G11" s="317" t="s">
        <v>727</v>
      </c>
      <c r="H11" s="317" t="s">
        <v>728</v>
      </c>
      <c r="I11" s="317" t="s">
        <v>729</v>
      </c>
      <c r="J11" s="317" t="s">
        <v>83</v>
      </c>
    </row>
    <row r="12" spans="1:10" x14ac:dyDescent="0.3">
      <c r="A12" s="319"/>
      <c r="B12" s="225"/>
      <c r="C12" s="225"/>
      <c r="D12" s="225"/>
      <c r="E12" s="225"/>
      <c r="F12" s="225"/>
      <c r="G12" s="225"/>
      <c r="H12" s="225"/>
      <c r="I12" s="225"/>
      <c r="J12" s="319"/>
    </row>
    <row r="13" spans="1:10" ht="14.15" x14ac:dyDescent="0.6">
      <c r="A13" s="225"/>
      <c r="B13" s="320" t="s">
        <v>92</v>
      </c>
      <c r="C13" s="225"/>
      <c r="D13" s="226"/>
      <c r="E13" s="225"/>
      <c r="F13" s="225"/>
      <c r="G13" s="225"/>
      <c r="H13" s="225"/>
      <c r="I13" s="225"/>
      <c r="J13" s="225"/>
    </row>
    <row r="14" spans="1:10" x14ac:dyDescent="0.3">
      <c r="A14" s="318">
        <v>263</v>
      </c>
      <c r="B14" s="227" t="s">
        <v>93</v>
      </c>
      <c r="C14" s="228">
        <v>115422529</v>
      </c>
      <c r="D14" s="228">
        <v>69975571</v>
      </c>
      <c r="E14" s="228">
        <v>-43172193</v>
      </c>
      <c r="F14" s="228">
        <v>-13344753</v>
      </c>
      <c r="G14" s="228">
        <v>1824447</v>
      </c>
      <c r="H14" s="228">
        <v>12214303</v>
      </c>
      <c r="I14" s="228">
        <v>0</v>
      </c>
      <c r="J14" s="228">
        <v>0</v>
      </c>
    </row>
    <row r="15" spans="1:10" x14ac:dyDescent="0.3">
      <c r="A15" s="318">
        <v>266</v>
      </c>
      <c r="B15" s="227" t="s">
        <v>94</v>
      </c>
      <c r="C15" s="229">
        <v>31570074</v>
      </c>
      <c r="D15" s="229">
        <v>19139538</v>
      </c>
      <c r="E15" s="229">
        <v>-10053139</v>
      </c>
      <c r="F15" s="229">
        <v>-2325320</v>
      </c>
      <c r="G15" s="229">
        <v>1419871</v>
      </c>
      <c r="H15" s="229">
        <v>4581073</v>
      </c>
      <c r="I15" s="321">
        <v>0</v>
      </c>
      <c r="J15" s="321">
        <v>0</v>
      </c>
    </row>
    <row r="16" spans="1:10" x14ac:dyDescent="0.3">
      <c r="A16" s="318">
        <v>269</v>
      </c>
      <c r="B16" s="227" t="s">
        <v>95</v>
      </c>
      <c r="C16" s="229">
        <v>63390660</v>
      </c>
      <c r="D16" s="229">
        <v>38430952</v>
      </c>
      <c r="E16" s="229">
        <v>-24373890</v>
      </c>
      <c r="F16" s="229">
        <v>-7439858</v>
      </c>
      <c r="G16" s="229">
        <v>892404</v>
      </c>
      <c r="H16" s="229">
        <v>8370433</v>
      </c>
      <c r="I16" s="321">
        <v>0</v>
      </c>
      <c r="J16" s="321">
        <v>0</v>
      </c>
    </row>
    <row r="17" spans="1:10" x14ac:dyDescent="0.3">
      <c r="A17" s="318">
        <v>270</v>
      </c>
      <c r="B17" s="227" t="s">
        <v>96</v>
      </c>
      <c r="C17" s="229">
        <v>64452146</v>
      </c>
      <c r="D17" s="229">
        <v>39074484</v>
      </c>
      <c r="E17" s="229">
        <v>-27484848</v>
      </c>
      <c r="F17" s="229">
        <v>-8352071</v>
      </c>
      <c r="G17" s="229">
        <v>1091088</v>
      </c>
      <c r="H17" s="229">
        <v>6138104</v>
      </c>
      <c r="I17" s="321">
        <v>0</v>
      </c>
      <c r="J17" s="321">
        <v>0</v>
      </c>
    </row>
    <row r="18" spans="1:10" x14ac:dyDescent="0.3">
      <c r="A18" s="318">
        <v>273</v>
      </c>
      <c r="B18" s="227" t="s">
        <v>97</v>
      </c>
      <c r="C18" s="229">
        <v>101797672</v>
      </c>
      <c r="D18" s="229">
        <v>61715423</v>
      </c>
      <c r="E18" s="229">
        <v>-44752454</v>
      </c>
      <c r="F18" s="229">
        <v>-14284822</v>
      </c>
      <c r="G18" s="229">
        <v>546082</v>
      </c>
      <c r="H18" s="229">
        <v>925673</v>
      </c>
      <c r="I18" s="321">
        <v>0</v>
      </c>
      <c r="J18" s="321">
        <v>0</v>
      </c>
    </row>
    <row r="19" spans="1:10" ht="12.9" x14ac:dyDescent="0.45">
      <c r="A19" s="318">
        <v>500</v>
      </c>
      <c r="B19" s="227" t="s">
        <v>376</v>
      </c>
      <c r="C19" s="230">
        <v>34453633</v>
      </c>
      <c r="D19" s="230">
        <v>20887713</v>
      </c>
      <c r="E19" s="230">
        <v>-15082558</v>
      </c>
      <c r="F19" s="230">
        <v>-4992991</v>
      </c>
      <c r="G19" s="230">
        <v>175502</v>
      </c>
      <c r="H19" s="230">
        <v>8922383</v>
      </c>
      <c r="I19" s="322">
        <v>0</v>
      </c>
      <c r="J19" s="322">
        <v>0</v>
      </c>
    </row>
    <row r="20" spans="1:10" x14ac:dyDescent="0.3">
      <c r="A20" s="225"/>
      <c r="B20" s="227" t="s">
        <v>342</v>
      </c>
      <c r="C20" s="228">
        <v>411086714</v>
      </c>
      <c r="D20" s="228">
        <v>249223681</v>
      </c>
      <c r="E20" s="228">
        <v>-164919082</v>
      </c>
      <c r="F20" s="228">
        <v>-50739815</v>
      </c>
      <c r="G20" s="228">
        <v>5949394</v>
      </c>
      <c r="H20" s="228">
        <v>41151969</v>
      </c>
      <c r="I20" s="228">
        <v>0</v>
      </c>
      <c r="J20" s="228">
        <v>0</v>
      </c>
    </row>
    <row r="21" spans="1:10" x14ac:dyDescent="0.3">
      <c r="A21" s="225"/>
      <c r="B21" s="227"/>
      <c r="C21" s="227"/>
      <c r="D21" s="227"/>
      <c r="E21" s="225"/>
      <c r="F21" s="225"/>
      <c r="G21" s="225"/>
      <c r="H21" s="225"/>
      <c r="I21" s="225"/>
      <c r="J21" s="225"/>
    </row>
    <row r="22" spans="1:10" x14ac:dyDescent="0.3">
      <c r="A22" s="225"/>
      <c r="B22" s="227" t="s">
        <v>381</v>
      </c>
      <c r="C22" s="228">
        <v>432333135</v>
      </c>
      <c r="D22" s="228">
        <v>262104446</v>
      </c>
      <c r="E22" s="228">
        <v>16841190</v>
      </c>
      <c r="F22" s="228">
        <v>-5891676</v>
      </c>
      <c r="G22" s="228">
        <v>-1243220</v>
      </c>
      <c r="H22" s="228">
        <v>-37956718</v>
      </c>
      <c r="I22" s="228">
        <v>0</v>
      </c>
      <c r="J22" s="228">
        <v>0</v>
      </c>
    </row>
    <row r="23" spans="1:10" x14ac:dyDescent="0.3">
      <c r="A23" s="225"/>
      <c r="B23" s="227"/>
      <c r="C23" s="227"/>
      <c r="D23" s="227"/>
      <c r="E23" s="225"/>
      <c r="F23" s="225"/>
      <c r="G23" s="225"/>
      <c r="H23" s="225"/>
      <c r="I23" s="225"/>
      <c r="J23" s="225"/>
    </row>
    <row r="24" spans="1:10" x14ac:dyDescent="0.3">
      <c r="A24" s="225"/>
      <c r="B24" s="227"/>
      <c r="C24" s="227"/>
      <c r="D24" s="227"/>
      <c r="E24" s="225"/>
      <c r="F24" s="225"/>
      <c r="G24" s="225"/>
      <c r="H24" s="225"/>
      <c r="I24" s="225"/>
      <c r="J24" s="225"/>
    </row>
    <row r="25" spans="1:10" ht="14.15" x14ac:dyDescent="0.6">
      <c r="A25" s="225"/>
      <c r="B25" s="320" t="s">
        <v>99</v>
      </c>
      <c r="C25" s="226"/>
      <c r="D25" s="226"/>
      <c r="E25" s="225"/>
      <c r="F25" s="225"/>
      <c r="G25" s="225"/>
      <c r="H25" s="225"/>
      <c r="I25" s="225"/>
      <c r="J25" s="225"/>
    </row>
    <row r="26" spans="1:10" x14ac:dyDescent="0.3">
      <c r="A26" s="318">
        <v>400</v>
      </c>
      <c r="B26" s="227" t="s">
        <v>98</v>
      </c>
      <c r="C26" s="228">
        <v>28371763</v>
      </c>
      <c r="D26" s="228">
        <v>17200544</v>
      </c>
      <c r="E26" s="228">
        <v>-25779692</v>
      </c>
      <c r="F26" s="228">
        <v>-9449211</v>
      </c>
      <c r="G26" s="228">
        <v>-627175</v>
      </c>
      <c r="H26" s="228">
        <v>14553594</v>
      </c>
      <c r="I26" s="228">
        <v>0</v>
      </c>
      <c r="J26" s="228">
        <v>0</v>
      </c>
    </row>
    <row r="27" spans="1:10" x14ac:dyDescent="0.3">
      <c r="A27" s="318">
        <v>801</v>
      </c>
      <c r="B27" s="227" t="s">
        <v>100</v>
      </c>
      <c r="C27" s="229">
        <v>1757801</v>
      </c>
      <c r="D27" s="229">
        <v>1065677</v>
      </c>
      <c r="E27" s="229">
        <v>-721716</v>
      </c>
      <c r="F27" s="229">
        <v>-221837</v>
      </c>
      <c r="G27" s="229">
        <v>39426</v>
      </c>
      <c r="H27" s="229">
        <v>489135</v>
      </c>
      <c r="I27" s="321">
        <v>0</v>
      </c>
      <c r="J27" s="321">
        <v>0</v>
      </c>
    </row>
    <row r="28" spans="1:10" x14ac:dyDescent="0.3">
      <c r="A28" s="318">
        <v>805</v>
      </c>
      <c r="B28" s="227" t="s">
        <v>101</v>
      </c>
      <c r="C28" s="229">
        <v>2871027</v>
      </c>
      <c r="D28" s="229">
        <v>1740577</v>
      </c>
      <c r="E28" s="229">
        <v>-1764460</v>
      </c>
      <c r="F28" s="229">
        <v>-599443</v>
      </c>
      <c r="G28" s="229">
        <v>-50933</v>
      </c>
      <c r="H28" s="229">
        <v>777965</v>
      </c>
      <c r="I28" s="321">
        <v>0</v>
      </c>
      <c r="J28" s="321">
        <v>0</v>
      </c>
    </row>
    <row r="29" spans="1:10" x14ac:dyDescent="0.3">
      <c r="A29" s="318">
        <v>806</v>
      </c>
      <c r="B29" s="227" t="s">
        <v>102</v>
      </c>
      <c r="C29" s="229">
        <v>434043</v>
      </c>
      <c r="D29" s="229">
        <v>263141</v>
      </c>
      <c r="E29" s="229">
        <v>-212756</v>
      </c>
      <c r="F29" s="229">
        <v>-61203</v>
      </c>
      <c r="G29" s="229">
        <v>8986</v>
      </c>
      <c r="H29" s="229">
        <v>118573</v>
      </c>
      <c r="I29" s="321">
        <v>0</v>
      </c>
      <c r="J29" s="321">
        <v>0</v>
      </c>
    </row>
    <row r="30" spans="1:10" x14ac:dyDescent="0.3">
      <c r="A30" s="318">
        <v>807</v>
      </c>
      <c r="B30" s="227" t="s">
        <v>103</v>
      </c>
      <c r="C30" s="229">
        <v>280109</v>
      </c>
      <c r="D30" s="229">
        <v>169818</v>
      </c>
      <c r="E30" s="229">
        <v>-134117</v>
      </c>
      <c r="F30" s="229">
        <v>-42490</v>
      </c>
      <c r="G30" s="229">
        <v>4667</v>
      </c>
      <c r="H30" s="229">
        <v>75609</v>
      </c>
      <c r="I30" s="321">
        <v>0</v>
      </c>
      <c r="J30" s="321">
        <v>0</v>
      </c>
    </row>
    <row r="31" spans="1:10" ht="12.9" x14ac:dyDescent="0.45">
      <c r="A31" s="318">
        <v>809</v>
      </c>
      <c r="B31" s="227" t="s">
        <v>117</v>
      </c>
      <c r="C31" s="230">
        <v>128338</v>
      </c>
      <c r="D31" s="230">
        <v>77806</v>
      </c>
      <c r="E31" s="230">
        <v>-58042</v>
      </c>
      <c r="F31" s="230">
        <v>-17588</v>
      </c>
      <c r="G31" s="230">
        <v>2551</v>
      </c>
      <c r="H31" s="230">
        <v>30834</v>
      </c>
      <c r="I31" s="322">
        <v>0</v>
      </c>
      <c r="J31" s="322">
        <v>0</v>
      </c>
    </row>
    <row r="32" spans="1:10" x14ac:dyDescent="0.3">
      <c r="A32" s="225"/>
      <c r="B32" s="227"/>
      <c r="C32" s="228">
        <v>33843081</v>
      </c>
      <c r="D32" s="228">
        <v>20517563</v>
      </c>
      <c r="E32" s="228">
        <v>-28670783</v>
      </c>
      <c r="F32" s="228">
        <v>-10391772</v>
      </c>
      <c r="G32" s="228">
        <v>-622478</v>
      </c>
      <c r="H32" s="228">
        <v>16045710</v>
      </c>
      <c r="I32" s="228">
        <v>0</v>
      </c>
      <c r="J32" s="228">
        <v>0</v>
      </c>
    </row>
    <row r="33" spans="1:10" x14ac:dyDescent="0.3">
      <c r="A33" s="225"/>
      <c r="B33" s="227"/>
      <c r="C33" s="227"/>
      <c r="D33" s="227"/>
      <c r="E33" s="225"/>
      <c r="F33" s="225"/>
      <c r="G33" s="225"/>
      <c r="H33" s="225"/>
      <c r="I33" s="225"/>
      <c r="J33" s="225"/>
    </row>
    <row r="34" spans="1:10" x14ac:dyDescent="0.3">
      <c r="A34" s="225"/>
      <c r="B34" s="227"/>
      <c r="C34" s="227"/>
      <c r="D34" s="227"/>
      <c r="E34" s="225"/>
      <c r="F34" s="225"/>
      <c r="G34" s="225"/>
      <c r="H34" s="225"/>
      <c r="I34" s="225"/>
      <c r="J34" s="225"/>
    </row>
    <row r="35" spans="1:10" ht="14.15" x14ac:dyDescent="0.6">
      <c r="A35" s="225"/>
      <c r="B35" s="320" t="s">
        <v>118</v>
      </c>
      <c r="C35" s="226"/>
      <c r="D35" s="226"/>
      <c r="E35" s="225"/>
      <c r="F35" s="225"/>
      <c r="G35" s="225"/>
      <c r="H35" s="225"/>
      <c r="I35" s="225"/>
      <c r="J35" s="225"/>
    </row>
    <row r="36" spans="1:10" x14ac:dyDescent="0.3">
      <c r="A36" s="318">
        <v>301</v>
      </c>
      <c r="B36" s="227" t="s">
        <v>104</v>
      </c>
      <c r="C36" s="228">
        <v>13366463</v>
      </c>
      <c r="D36" s="228">
        <v>8103495</v>
      </c>
      <c r="E36" s="228">
        <v>-4603066</v>
      </c>
      <c r="F36" s="228">
        <v>-1570953</v>
      </c>
      <c r="G36" s="228">
        <v>-50524</v>
      </c>
      <c r="H36" s="228">
        <v>1155874</v>
      </c>
      <c r="I36" s="228">
        <v>0</v>
      </c>
      <c r="J36" s="228">
        <v>0</v>
      </c>
    </row>
    <row r="37" spans="1:10" x14ac:dyDescent="0.3">
      <c r="A37" s="318">
        <v>302</v>
      </c>
      <c r="B37" s="227" t="s">
        <v>105</v>
      </c>
      <c r="C37" s="229">
        <v>14274384</v>
      </c>
      <c r="D37" s="229">
        <v>8653927</v>
      </c>
      <c r="E37" s="229">
        <v>-4911404</v>
      </c>
      <c r="F37" s="229">
        <v>-1520785</v>
      </c>
      <c r="G37" s="229">
        <v>214598</v>
      </c>
      <c r="H37" s="229">
        <v>1700364</v>
      </c>
      <c r="I37" s="321">
        <v>0</v>
      </c>
      <c r="J37" s="321">
        <v>0</v>
      </c>
    </row>
    <row r="38" spans="1:10" x14ac:dyDescent="0.3">
      <c r="A38" s="318">
        <v>303</v>
      </c>
      <c r="B38" s="227" t="s">
        <v>106</v>
      </c>
      <c r="C38" s="229">
        <v>0</v>
      </c>
      <c r="D38" s="229">
        <v>0</v>
      </c>
      <c r="E38" s="229">
        <v>-6159412</v>
      </c>
      <c r="F38" s="229">
        <v>-1984808</v>
      </c>
      <c r="G38" s="229">
        <v>-8673</v>
      </c>
      <c r="H38" s="229">
        <v>6159412</v>
      </c>
      <c r="I38" s="321">
        <v>0</v>
      </c>
      <c r="J38" s="321">
        <v>0</v>
      </c>
    </row>
    <row r="39" spans="1:10" x14ac:dyDescent="0.3">
      <c r="A39" s="318">
        <v>304</v>
      </c>
      <c r="B39" s="227" t="s">
        <v>107</v>
      </c>
      <c r="C39" s="229">
        <v>10706329</v>
      </c>
      <c r="D39" s="229">
        <v>6490773</v>
      </c>
      <c r="E39" s="229">
        <v>-6015169</v>
      </c>
      <c r="F39" s="229">
        <v>-1888545</v>
      </c>
      <c r="G39" s="229">
        <v>105838</v>
      </c>
      <c r="H39" s="229">
        <v>3300251</v>
      </c>
      <c r="I39" s="321">
        <v>0</v>
      </c>
      <c r="J39" s="321">
        <v>0</v>
      </c>
    </row>
    <row r="40" spans="1:10" x14ac:dyDescent="0.3">
      <c r="A40" s="318">
        <v>305</v>
      </c>
      <c r="B40" s="227" t="s">
        <v>108</v>
      </c>
      <c r="C40" s="229">
        <v>13186393</v>
      </c>
      <c r="D40" s="229">
        <v>7994327</v>
      </c>
      <c r="E40" s="229">
        <v>-5591012</v>
      </c>
      <c r="F40" s="229">
        <v>-1793766</v>
      </c>
      <c r="G40" s="229">
        <v>52968</v>
      </c>
      <c r="H40" s="229">
        <v>2663031</v>
      </c>
      <c r="I40" s="321">
        <v>0</v>
      </c>
      <c r="J40" s="321">
        <v>0</v>
      </c>
    </row>
    <row r="41" spans="1:10" x14ac:dyDescent="0.3">
      <c r="A41" s="318">
        <v>308</v>
      </c>
      <c r="B41" s="227" t="s">
        <v>733</v>
      </c>
      <c r="C41" s="229">
        <v>727490</v>
      </c>
      <c r="D41" s="229">
        <v>441045</v>
      </c>
      <c r="E41" s="229">
        <v>-666920</v>
      </c>
      <c r="F41" s="229">
        <v>-228730</v>
      </c>
      <c r="G41" s="229">
        <v>2360</v>
      </c>
      <c r="H41" s="229">
        <v>378814</v>
      </c>
      <c r="I41" s="321">
        <v>0</v>
      </c>
      <c r="J41" s="321">
        <v>0</v>
      </c>
    </row>
    <row r="42" spans="1:10" x14ac:dyDescent="0.3">
      <c r="A42" s="318">
        <v>316</v>
      </c>
      <c r="B42" s="227" t="s">
        <v>110</v>
      </c>
      <c r="C42" s="229">
        <v>4834134</v>
      </c>
      <c r="D42" s="229">
        <v>2930721</v>
      </c>
      <c r="E42" s="229">
        <v>-1551658</v>
      </c>
      <c r="F42" s="229">
        <v>-523106</v>
      </c>
      <c r="G42" s="229">
        <v>205039</v>
      </c>
      <c r="H42" s="229">
        <v>1189170</v>
      </c>
      <c r="I42" s="321">
        <v>0</v>
      </c>
      <c r="J42" s="321">
        <v>0</v>
      </c>
    </row>
    <row r="43" spans="1:10" x14ac:dyDescent="0.3">
      <c r="A43" s="318">
        <v>318</v>
      </c>
      <c r="B43" s="227" t="s">
        <v>112</v>
      </c>
      <c r="C43" s="229">
        <v>22140328</v>
      </c>
      <c r="D43" s="229">
        <v>13422701</v>
      </c>
      <c r="E43" s="229">
        <v>-13091673</v>
      </c>
      <c r="F43" s="229">
        <v>-4651252</v>
      </c>
      <c r="G43" s="229">
        <v>108899</v>
      </c>
      <c r="H43" s="229">
        <v>9106803</v>
      </c>
      <c r="I43" s="321">
        <v>0</v>
      </c>
      <c r="J43" s="321">
        <v>0</v>
      </c>
    </row>
    <row r="44" spans="1:10" x14ac:dyDescent="0.3">
      <c r="A44" s="318">
        <v>320</v>
      </c>
      <c r="B44" s="227" t="s">
        <v>114</v>
      </c>
      <c r="C44" s="229">
        <v>5821184</v>
      </c>
      <c r="D44" s="229">
        <v>3529127</v>
      </c>
      <c r="E44" s="229">
        <v>-3284393</v>
      </c>
      <c r="F44" s="229">
        <v>-980305</v>
      </c>
      <c r="G44" s="229">
        <v>35407</v>
      </c>
      <c r="H44" s="229">
        <v>1720771</v>
      </c>
      <c r="I44" s="321">
        <v>0</v>
      </c>
      <c r="J44" s="321">
        <v>0</v>
      </c>
    </row>
    <row r="45" spans="1:10" x14ac:dyDescent="0.3">
      <c r="A45" s="318">
        <v>330</v>
      </c>
      <c r="B45" s="227" t="s">
        <v>115</v>
      </c>
      <c r="C45" s="229">
        <v>3347789</v>
      </c>
      <c r="D45" s="229">
        <v>2029617</v>
      </c>
      <c r="E45" s="229">
        <v>-4013066</v>
      </c>
      <c r="F45" s="229">
        <v>-1583491</v>
      </c>
      <c r="G45" s="229">
        <v>-301345</v>
      </c>
      <c r="H45" s="229">
        <v>459337</v>
      </c>
      <c r="I45" s="321">
        <v>0</v>
      </c>
      <c r="J45" s="321">
        <v>0</v>
      </c>
    </row>
    <row r="46" spans="1:10" x14ac:dyDescent="0.3">
      <c r="A46" s="318">
        <v>345</v>
      </c>
      <c r="B46" s="227" t="s">
        <v>116</v>
      </c>
      <c r="C46" s="229">
        <v>31272351</v>
      </c>
      <c r="D46" s="229">
        <v>18959042</v>
      </c>
      <c r="E46" s="229">
        <v>-15550410</v>
      </c>
      <c r="F46" s="229">
        <v>-4832103</v>
      </c>
      <c r="G46" s="229">
        <v>632087</v>
      </c>
      <c r="H46" s="229">
        <v>7101452</v>
      </c>
      <c r="I46" s="321">
        <v>0</v>
      </c>
      <c r="J46" s="321">
        <v>0</v>
      </c>
    </row>
    <row r="47" spans="1:10" ht="12.9" x14ac:dyDescent="0.45">
      <c r="A47" s="318">
        <v>728</v>
      </c>
      <c r="B47" s="227" t="s">
        <v>113</v>
      </c>
      <c r="C47" s="230">
        <v>131763</v>
      </c>
      <c r="D47" s="230">
        <v>79882</v>
      </c>
      <c r="E47" s="230">
        <v>-63844</v>
      </c>
      <c r="F47" s="230">
        <v>-19705</v>
      </c>
      <c r="G47" s="230">
        <v>-3881</v>
      </c>
      <c r="H47" s="230">
        <v>15632</v>
      </c>
      <c r="I47" s="322">
        <v>0</v>
      </c>
      <c r="J47" s="322">
        <v>0</v>
      </c>
    </row>
    <row r="48" spans="1:10" x14ac:dyDescent="0.3">
      <c r="A48" s="225"/>
      <c r="B48" s="227"/>
      <c r="C48" s="228">
        <f t="shared" ref="C48:H48" si="0">SUM(C36:C47)</f>
        <v>119808608</v>
      </c>
      <c r="D48" s="228">
        <f t="shared" si="0"/>
        <v>72634657</v>
      </c>
      <c r="E48" s="228">
        <f t="shared" si="0"/>
        <v>-65502027</v>
      </c>
      <c r="F48" s="228">
        <f t="shared" si="0"/>
        <v>-21577549</v>
      </c>
      <c r="G48" s="228">
        <f t="shared" si="0"/>
        <v>992773</v>
      </c>
      <c r="H48" s="228">
        <f t="shared" si="0"/>
        <v>34950911</v>
      </c>
      <c r="I48" s="228">
        <v>0</v>
      </c>
      <c r="J48" s="228">
        <v>0</v>
      </c>
    </row>
    <row r="49" spans="1:10" x14ac:dyDescent="0.3">
      <c r="A49" s="225"/>
      <c r="B49" s="227"/>
      <c r="C49" s="227"/>
      <c r="D49" s="227"/>
      <c r="E49" s="225"/>
      <c r="F49" s="225"/>
      <c r="G49" s="225"/>
      <c r="H49" s="225"/>
      <c r="I49" s="225"/>
      <c r="J49" s="225"/>
    </row>
    <row r="50" spans="1:10" ht="12.9" x14ac:dyDescent="0.45">
      <c r="A50" s="225"/>
      <c r="B50" s="227" t="s">
        <v>382</v>
      </c>
      <c r="C50" s="230">
        <v>17871381460</v>
      </c>
      <c r="D50" s="230">
        <v>10834627652</v>
      </c>
      <c r="E50" s="230">
        <v>-2994515918</v>
      </c>
      <c r="F50" s="230">
        <v>-1151734365</v>
      </c>
      <c r="G50" s="230">
        <v>162627493</v>
      </c>
      <c r="H50" s="230">
        <v>27472780</v>
      </c>
      <c r="I50" s="322">
        <v>0</v>
      </c>
      <c r="J50" s="322">
        <v>0</v>
      </c>
    </row>
    <row r="51" spans="1:10" x14ac:dyDescent="0.3">
      <c r="A51" s="225"/>
      <c r="B51" s="227"/>
      <c r="C51" s="227"/>
      <c r="D51" s="227"/>
      <c r="E51" s="225"/>
      <c r="F51" s="225"/>
      <c r="G51" s="225"/>
      <c r="H51" s="225"/>
      <c r="I51" s="225"/>
      <c r="J51" s="225"/>
    </row>
    <row r="52" spans="1:10" ht="12.9" x14ac:dyDescent="0.45">
      <c r="A52" s="225"/>
      <c r="B52" s="227" t="s">
        <v>312</v>
      </c>
      <c r="C52" s="331">
        <f t="shared" ref="C52:J52" si="1">C20+C22+C32+C48+C50</f>
        <v>18868452998</v>
      </c>
      <c r="D52" s="331">
        <f t="shared" si="1"/>
        <v>11439107999</v>
      </c>
      <c r="E52" s="331">
        <f t="shared" si="1"/>
        <v>-3236766620</v>
      </c>
      <c r="F52" s="331">
        <f t="shared" si="1"/>
        <v>-1240335177</v>
      </c>
      <c r="G52" s="331">
        <f t="shared" si="1"/>
        <v>167703962</v>
      </c>
      <c r="H52" s="331">
        <f t="shared" si="1"/>
        <v>81664652</v>
      </c>
      <c r="I52" s="331">
        <f t="shared" si="1"/>
        <v>0</v>
      </c>
      <c r="J52" s="331">
        <f t="shared" si="1"/>
        <v>0</v>
      </c>
    </row>
    <row r="53" spans="1:10" x14ac:dyDescent="0.3">
      <c r="B53" s="227"/>
      <c r="C53" s="227"/>
      <c r="D53" s="227"/>
    </row>
    <row r="54" spans="1:10" x14ac:dyDescent="0.3">
      <c r="B54" s="227"/>
      <c r="C54" s="227"/>
      <c r="D54" s="227"/>
    </row>
    <row r="55" spans="1:10" x14ac:dyDescent="0.3">
      <c r="B55" s="227"/>
      <c r="C55" s="227"/>
      <c r="D55" s="227"/>
    </row>
    <row r="56" spans="1:10" x14ac:dyDescent="0.3">
      <c r="B56" s="227"/>
      <c r="C56" s="227"/>
      <c r="D56" s="227"/>
    </row>
    <row r="57" spans="1:10" x14ac:dyDescent="0.3">
      <c r="B57" s="227"/>
      <c r="C57" s="227"/>
      <c r="D57" s="227"/>
    </row>
    <row r="58" spans="1:10" x14ac:dyDescent="0.3">
      <c r="B58" s="227"/>
      <c r="C58" s="227"/>
      <c r="D58" s="227"/>
    </row>
    <row r="59" spans="1:10" x14ac:dyDescent="0.3">
      <c r="B59" s="227"/>
      <c r="C59" s="227"/>
      <c r="D59" s="227"/>
    </row>
    <row r="60" spans="1:10" x14ac:dyDescent="0.3">
      <c r="B60" s="227"/>
      <c r="C60" s="227"/>
      <c r="D60" s="227"/>
    </row>
    <row r="61" spans="1:10" x14ac:dyDescent="0.3">
      <c r="B61" s="227"/>
      <c r="C61" s="227"/>
      <c r="D61" s="227"/>
    </row>
    <row r="62" spans="1:10" x14ac:dyDescent="0.3">
      <c r="B62" s="227"/>
      <c r="C62" s="227"/>
      <c r="D62" s="227"/>
    </row>
    <row r="63" spans="1:10" x14ac:dyDescent="0.3">
      <c r="B63" s="227"/>
      <c r="C63" s="227"/>
      <c r="D63" s="227"/>
    </row>
    <row r="64" spans="1:10" x14ac:dyDescent="0.3">
      <c r="B64" s="227"/>
      <c r="C64" s="227"/>
      <c r="D64" s="227"/>
    </row>
    <row r="65" spans="2:4" x14ac:dyDescent="0.3">
      <c r="B65" s="227"/>
      <c r="C65" s="227"/>
      <c r="D65" s="227"/>
    </row>
    <row r="66" spans="2:4" x14ac:dyDescent="0.3">
      <c r="B66" s="227"/>
      <c r="C66" s="227"/>
      <c r="D66" s="227"/>
    </row>
    <row r="67" spans="2:4" x14ac:dyDescent="0.3">
      <c r="B67" s="227"/>
      <c r="C67" s="227"/>
      <c r="D67" s="227"/>
    </row>
    <row r="68" spans="2:4" x14ac:dyDescent="0.3">
      <c r="B68" s="227"/>
      <c r="C68" s="227"/>
      <c r="D68" s="227"/>
    </row>
    <row r="69" spans="2:4" x14ac:dyDescent="0.3">
      <c r="B69" s="227"/>
      <c r="C69" s="227"/>
      <c r="D69" s="227"/>
    </row>
    <row r="70" spans="2:4" x14ac:dyDescent="0.3">
      <c r="B70" s="227"/>
      <c r="C70" s="227"/>
      <c r="D70" s="227"/>
    </row>
    <row r="71" spans="2:4" x14ac:dyDescent="0.3">
      <c r="B71" s="227"/>
      <c r="C71" s="227"/>
      <c r="D71" s="227"/>
    </row>
    <row r="72" spans="2:4" x14ac:dyDescent="0.3">
      <c r="B72" s="227"/>
      <c r="C72" s="227"/>
      <c r="D72" s="227"/>
    </row>
    <row r="73" spans="2:4" x14ac:dyDescent="0.3">
      <c r="B73" s="227"/>
      <c r="C73" s="227"/>
      <c r="D73" s="227"/>
    </row>
  </sheetData>
  <mergeCells count="3">
    <mergeCell ref="E10:J10"/>
    <mergeCell ref="C4:D4"/>
    <mergeCell ref="C5:D5"/>
  </mergeCells>
  <printOptions horizontalCentered="1" verticalCentered="1"/>
  <pageMargins left="0.25" right="0.25" top="0.75" bottom="0.5" header="0.3" footer="0.3"/>
  <pageSetup scale="85" orientation="landscape" r:id="rId1"/>
  <headerFooter>
    <oddHeader>&amp;C&amp;"Arial,Bold"&amp;USCHEDULE C&amp;U
SCHEDULE OF REMAINING DEFERRED OUTFLOWS AND (INFLOWS)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2017 Prop share of contribs</vt:lpstr>
      <vt:lpstr>Employer Allocations</vt:lpstr>
      <vt:lpstr>Allocation schedule Univ</vt:lpstr>
      <vt:lpstr>Allocation schedule Non</vt:lpstr>
      <vt:lpstr>Sched A</vt:lpstr>
      <vt:lpstr>Sched B</vt:lpstr>
      <vt:lpstr>Sched C</vt:lpstr>
      <vt:lpstr>'2017 Prop share of contribs'!Print_Area</vt:lpstr>
      <vt:lpstr>'Sched A'!Print_Area</vt:lpstr>
      <vt:lpstr>'Sched B'!Print_Area</vt:lpstr>
      <vt:lpstr>'Sched C'!Print_Area</vt:lpstr>
      <vt:lpstr>'Allocation schedule Univ'!Print_Titles</vt:lpstr>
      <vt:lpstr>'Sched A'!Print_Titles</vt:lpstr>
      <vt:lpstr>'Sched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Whelan</dc:creator>
  <cp:lastModifiedBy>Mark Whelan (TRS)</cp:lastModifiedBy>
  <cp:lastPrinted>2018-06-29T15:30:36Z</cp:lastPrinted>
  <dcterms:created xsi:type="dcterms:W3CDTF">2014-11-12T16:09:12Z</dcterms:created>
  <dcterms:modified xsi:type="dcterms:W3CDTF">2021-08-04T20:37:01Z</dcterms:modified>
</cp:coreProperties>
</file>